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<sst xmlns="http://schemas.openxmlformats.org/spreadsheetml/2006/main" count="1086" uniqueCount="81">
  <si>
    <t>醋酸槽区、甲醇槽防腐工作量统计表</t>
  </si>
  <si>
    <t>醋酸厂三期中间槽防腐：</t>
  </si>
  <si>
    <t>数量</t>
  </si>
  <si>
    <t>过道</t>
  </si>
  <si>
    <r>
      <rPr>
        <sz val="12"/>
        <rFont val="宋体"/>
        <charset val="134"/>
      </rPr>
      <t>槽钢型号</t>
    </r>
    <r>
      <rPr>
        <sz val="12"/>
        <rFont val="宋体"/>
        <charset val="0"/>
      </rPr>
      <t>[</t>
    </r>
  </si>
  <si>
    <t>长度</t>
  </si>
  <si>
    <t>米</t>
  </si>
  <si>
    <r>
      <rPr>
        <sz val="12"/>
        <rFont val="宋体"/>
        <charset val="0"/>
      </rPr>
      <t>m</t>
    </r>
    <r>
      <rPr>
        <vertAlign val="superscript"/>
        <sz val="12"/>
        <rFont val="宋体"/>
        <charset val="0"/>
      </rPr>
      <t>2</t>
    </r>
  </si>
  <si>
    <t>栏杆</t>
  </si>
  <si>
    <t>管道外径Φ</t>
  </si>
  <si>
    <t>扁铁</t>
  </si>
  <si>
    <t>钢板</t>
  </si>
  <si>
    <t>笼梯</t>
  </si>
  <si>
    <t>圆钢</t>
  </si>
  <si>
    <t>顶部钢板</t>
  </si>
  <si>
    <t>爬梯</t>
  </si>
  <si>
    <t>支撑</t>
  </si>
  <si>
    <t>角铁型号∠</t>
  </si>
  <si>
    <t>消防水</t>
  </si>
  <si>
    <t>H型钢过道型号：</t>
  </si>
  <si>
    <r>
      <rPr>
        <sz val="12"/>
        <color rgb="FF000000"/>
        <rFont val="宋体"/>
        <charset val="0"/>
      </rPr>
      <t>m</t>
    </r>
    <r>
      <rPr>
        <vertAlign val="superscript"/>
        <sz val="12"/>
        <color indexed="8"/>
        <rFont val="宋体"/>
        <charset val="0"/>
      </rPr>
      <t>2</t>
    </r>
  </si>
  <si>
    <t>醋酸厂三期二次洗涤水钢架防腐</t>
  </si>
  <si>
    <t>H型钢钢架型号：</t>
  </si>
  <si>
    <t>醋酸厂三期中间槽爬梯防腐</t>
  </si>
  <si>
    <r>
      <rPr>
        <sz val="12"/>
        <color rgb="FF000000"/>
        <rFont val="宋体"/>
        <charset val="134"/>
      </rPr>
      <t>槽钢型号</t>
    </r>
    <r>
      <rPr>
        <sz val="12"/>
        <color indexed="8"/>
        <rFont val="宋体"/>
        <charset val="0"/>
      </rPr>
      <t>[</t>
    </r>
  </si>
  <si>
    <r>
      <rPr>
        <sz val="12"/>
        <color indexed="8"/>
        <rFont val="宋体"/>
        <charset val="0"/>
      </rPr>
      <t>m</t>
    </r>
    <r>
      <rPr>
        <vertAlign val="superscript"/>
        <sz val="12"/>
        <color indexed="8"/>
        <rFont val="宋体"/>
        <charset val="0"/>
      </rPr>
      <t>2</t>
    </r>
  </si>
  <si>
    <t>角铁</t>
  </si>
  <si>
    <t>槽钢</t>
  </si>
  <si>
    <t>H型钢管架型号：</t>
  </si>
  <si>
    <t>管架</t>
  </si>
  <si>
    <t>线管</t>
  </si>
  <si>
    <t>线盒</t>
  </si>
  <si>
    <t>管支撑</t>
  </si>
  <si>
    <t>醋酸厂二期甲醇槽区防腐</t>
  </si>
  <si>
    <t>机泵18台</t>
  </si>
  <si>
    <t>机泵</t>
  </si>
  <si>
    <t>基础</t>
  </si>
  <si>
    <t>混凝土</t>
  </si>
  <si>
    <t>盖板</t>
  </si>
  <si>
    <t>线架、管道支架：</t>
  </si>
  <si>
    <t>H型钢型号：</t>
  </si>
  <si>
    <t>管道架</t>
  </si>
  <si>
    <t>甲醇管</t>
  </si>
  <si>
    <t>消防</t>
  </si>
  <si>
    <t>泡沫</t>
  </si>
  <si>
    <t>醋酸厂二期中间槽防腐：</t>
  </si>
  <si>
    <t>管道支架</t>
  </si>
  <si>
    <t>消防泡沫管</t>
  </si>
  <si>
    <t>消防管</t>
  </si>
  <si>
    <t>氮气管</t>
  </si>
  <si>
    <t>罐体爬梯侧板</t>
  </si>
  <si>
    <t>操作平台</t>
  </si>
  <si>
    <t>槽顶栏杆</t>
  </si>
  <si>
    <t>过桥</t>
  </si>
  <si>
    <t>平台</t>
  </si>
  <si>
    <t>H钢洗涤水钢架</t>
  </si>
  <si>
    <t>顶部过道</t>
  </si>
  <si>
    <t>醋酸厂大储槽二次洗涤水钢架防腐：</t>
  </si>
  <si>
    <t>管道</t>
  </si>
  <si>
    <t>醋酸厂大贮槽区管道、过桥防腐：</t>
  </si>
  <si>
    <t>接地扁铁</t>
  </si>
  <si>
    <t>笼梯扁铁</t>
  </si>
  <si>
    <t>侧板</t>
  </si>
  <si>
    <r>
      <rPr>
        <sz val="12"/>
        <color rgb="FF000000"/>
        <rFont val="宋体"/>
        <charset val="0"/>
      </rPr>
      <t>H</t>
    </r>
    <r>
      <rPr>
        <sz val="12"/>
        <color indexed="8"/>
        <rFont val="宋体"/>
        <charset val="134"/>
      </rPr>
      <t>型钢横梁型号：</t>
    </r>
  </si>
  <si>
    <t>筋板</t>
  </si>
  <si>
    <t>槽钢=C型钢</t>
  </si>
  <si>
    <t>手工除中锈，环氧带锈底漆一遍，环氧底漆一遍，环氧云铁中间漆一遍，聚氨酯面漆两遍。</t>
  </si>
  <si>
    <t>醋酸厂二期中间槽区甲醇槽（2只）防腐：</t>
  </si>
  <si>
    <t>甲醇中间槽</t>
  </si>
  <si>
    <t>顶</t>
  </si>
  <si>
    <t>直径</t>
  </si>
  <si>
    <t>底边</t>
  </si>
  <si>
    <t>人孔</t>
  </si>
  <si>
    <t>旋梯</t>
  </si>
  <si>
    <t>踏板</t>
  </si>
  <si>
    <t>标识:甲醇中间槽V21301A、甲醇中间槽V21301B，共计：24个字，规格：600*600mm</t>
  </si>
  <si>
    <t>醋酸厂大贮槽区甲醇槽防腐：（2只）</t>
  </si>
  <si>
    <t>甲醇槽</t>
  </si>
  <si>
    <t>标识：甲醇槽V5110A\甲醇槽V5110B  规格1000*1000mm</t>
  </si>
  <si>
    <t>注：机械除中锈（水磨），刷环氧底漆二遍，耐油隔热中间漆一遍，耐油隔热涂料面漆二遍</t>
  </si>
  <si>
    <t>注：机械除中锈（水磨），刷环氧底漆一遍，环氧树脂玻璃钎维缠布（三布五油）面漆二遍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</si>
</sst>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12"/>
      <name val="宋体"/>
      <charset val="0"/>
    </font>
    <font>
      <vertAlign val="superscript"/>
      <sz val="12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shrinkToFit="1"/>
    </xf>
    <xf numFmtId="0" fontId="9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176" fontId="8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tabSelected="1" workbookViewId="0">
      <selection activeCell="L9" sqref="L9"/>
    </sheetView>
  </sheetViews>
  <sheetFormatPr defaultColWidth="9" defaultRowHeight="14.25"/>
  <cols>
    <col min="1" max="1" width="14.125" style="4" customWidth="1"/>
    <col min="2" max="7" width="9" style="4"/>
    <col min="8" max="8" width="12.625" style="4"/>
    <col min="9" max="9" width="9" style="4"/>
    <col min="10" max="10" width="12.625" style="4"/>
    <col min="11" max="16384" width="9" style="4"/>
  </cols>
  <sheetData>
    <row r="1" ht="20.2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7">
      <c r="A2" s="1" t="s">
        <v>1</v>
      </c>
      <c r="G2" s="1" t="s">
        <v>2</v>
      </c>
    </row>
    <row r="3" s="1" customFormat="1" ht="16.5" spans="1:9">
      <c r="A3" s="6" t="s">
        <v>3</v>
      </c>
      <c r="B3" s="7" t="s">
        <v>4</v>
      </c>
      <c r="C3" s="8">
        <v>10</v>
      </c>
      <c r="D3" s="9" t="s">
        <v>5</v>
      </c>
      <c r="E3" s="10">
        <v>42</v>
      </c>
      <c r="F3" s="11" t="s">
        <v>6</v>
      </c>
      <c r="G3" s="12">
        <f>IF(C3=10,0.392,IF(C3=12,0.452,IF(C3=14,0.52,IF(C3=16,0.58,IF(C3=20,0.7,IF(C3=22,0.756,IF(C3=8,0.332,IF(C3=18,0.632,查表))))))))</f>
        <v>0.392</v>
      </c>
      <c r="H3" s="13">
        <f>G3*E3</f>
        <v>16.464</v>
      </c>
      <c r="I3" s="14" t="s">
        <v>7</v>
      </c>
    </row>
    <row r="4" s="1" customFormat="1" ht="15" customHeight="1" spans="1:9">
      <c r="A4" s="7" t="s">
        <v>8</v>
      </c>
      <c r="B4" s="7" t="s">
        <v>9</v>
      </c>
      <c r="C4" s="14">
        <v>32</v>
      </c>
      <c r="D4" s="9" t="s">
        <v>5</v>
      </c>
      <c r="E4" s="10">
        <v>42</v>
      </c>
      <c r="F4" s="15" t="s">
        <v>6</v>
      </c>
      <c r="G4" s="16"/>
      <c r="H4" s="17">
        <f>C4*3.141*0.001*E4</f>
        <v>4.221504</v>
      </c>
      <c r="I4" s="14" t="s">
        <v>7</v>
      </c>
    </row>
    <row r="5" s="1" customFormat="1" ht="16.5" spans="1:9">
      <c r="A5" s="7" t="s">
        <v>10</v>
      </c>
      <c r="B5" s="6" t="s">
        <v>11</v>
      </c>
      <c r="C5" s="14">
        <v>0.04</v>
      </c>
      <c r="D5" s="9" t="s">
        <v>5</v>
      </c>
      <c r="E5" s="10">
        <v>84</v>
      </c>
      <c r="F5" s="11" t="s">
        <v>6</v>
      </c>
      <c r="G5" s="18">
        <v>2</v>
      </c>
      <c r="H5" s="17">
        <f t="shared" ref="H5:H7" si="0">C5*E5*G5</f>
        <v>6.72</v>
      </c>
      <c r="I5" s="14" t="s">
        <v>7</v>
      </c>
    </row>
    <row r="6" s="1" customFormat="1" ht="16.5" spans="1:9">
      <c r="A6" s="7" t="s">
        <v>12</v>
      </c>
      <c r="B6" s="6" t="s">
        <v>11</v>
      </c>
      <c r="C6" s="14">
        <v>0.04</v>
      </c>
      <c r="D6" s="9" t="s">
        <v>5</v>
      </c>
      <c r="E6" s="10">
        <v>40</v>
      </c>
      <c r="F6" s="11" t="s">
        <v>6</v>
      </c>
      <c r="G6" s="18">
        <v>2</v>
      </c>
      <c r="H6" s="17">
        <f t="shared" si="0"/>
        <v>3.2</v>
      </c>
      <c r="I6" s="14" t="s">
        <v>7</v>
      </c>
    </row>
    <row r="7" s="1" customFormat="1" ht="16.5" spans="1:9">
      <c r="A7" s="7" t="s">
        <v>12</v>
      </c>
      <c r="B7" s="6" t="s">
        <v>11</v>
      </c>
      <c r="C7" s="14">
        <v>0.06</v>
      </c>
      <c r="D7" s="9" t="s">
        <v>5</v>
      </c>
      <c r="E7" s="10">
        <v>8</v>
      </c>
      <c r="F7" s="11" t="s">
        <v>6</v>
      </c>
      <c r="G7" s="18">
        <v>4</v>
      </c>
      <c r="H7" s="17">
        <f t="shared" si="0"/>
        <v>1.92</v>
      </c>
      <c r="I7" s="14" t="s">
        <v>7</v>
      </c>
    </row>
    <row r="8" s="1" customFormat="1" ht="15" customHeight="1" spans="1:9">
      <c r="A8" s="7" t="s">
        <v>13</v>
      </c>
      <c r="B8" s="7" t="s">
        <v>9</v>
      </c>
      <c r="C8" s="14">
        <v>20</v>
      </c>
      <c r="D8" s="9" t="s">
        <v>5</v>
      </c>
      <c r="E8" s="10">
        <f>0.5*19</f>
        <v>9.5</v>
      </c>
      <c r="F8" s="15" t="s">
        <v>6</v>
      </c>
      <c r="G8" s="16"/>
      <c r="H8" s="17">
        <f>C8*3.141*0.001*E8</f>
        <v>0.59679</v>
      </c>
      <c r="I8" s="14" t="s">
        <v>7</v>
      </c>
    </row>
    <row r="9" s="1" customFormat="1" ht="16.5" spans="1:9">
      <c r="A9" s="7" t="s">
        <v>14</v>
      </c>
      <c r="B9" s="6" t="s">
        <v>11</v>
      </c>
      <c r="C9" s="14">
        <v>0.6</v>
      </c>
      <c r="D9" s="9" t="s">
        <v>5</v>
      </c>
      <c r="E9" s="10">
        <v>4</v>
      </c>
      <c r="F9" s="11" t="s">
        <v>6</v>
      </c>
      <c r="G9" s="18">
        <v>1</v>
      </c>
      <c r="H9" s="17">
        <f t="shared" ref="H9:H12" si="1">C9*E9*G9</f>
        <v>2.4</v>
      </c>
      <c r="I9" s="14" t="s">
        <v>7</v>
      </c>
    </row>
    <row r="10" s="1" customFormat="1" ht="16.5" spans="1:9">
      <c r="A10" s="7" t="s">
        <v>15</v>
      </c>
      <c r="B10" s="6" t="s">
        <v>11</v>
      </c>
      <c r="C10" s="14">
        <v>0.2</v>
      </c>
      <c r="D10" s="9" t="s">
        <v>5</v>
      </c>
      <c r="E10" s="10">
        <v>23</v>
      </c>
      <c r="F10" s="11" t="s">
        <v>6</v>
      </c>
      <c r="G10" s="18">
        <v>4</v>
      </c>
      <c r="H10" s="17">
        <f t="shared" si="1"/>
        <v>18.4</v>
      </c>
      <c r="I10" s="14" t="s">
        <v>7</v>
      </c>
    </row>
    <row r="11" s="1" customFormat="1" ht="15" customHeight="1" spans="1:9">
      <c r="A11" s="7" t="s">
        <v>8</v>
      </c>
      <c r="B11" s="7" t="s">
        <v>9</v>
      </c>
      <c r="C11" s="14">
        <v>32</v>
      </c>
      <c r="D11" s="9" t="s">
        <v>5</v>
      </c>
      <c r="E11" s="10">
        <v>46</v>
      </c>
      <c r="F11" s="15" t="s">
        <v>6</v>
      </c>
      <c r="G11" s="16"/>
      <c r="H11" s="17">
        <f t="shared" ref="H11:H16" si="2">C11*3.141*0.001*E11</f>
        <v>4.623552</v>
      </c>
      <c r="I11" s="14" t="s">
        <v>7</v>
      </c>
    </row>
    <row r="12" s="1" customFormat="1" ht="16.5" spans="1:9">
      <c r="A12" s="7" t="s">
        <v>10</v>
      </c>
      <c r="B12" s="6" t="s">
        <v>11</v>
      </c>
      <c r="C12" s="14">
        <v>0.04</v>
      </c>
      <c r="D12" s="9" t="s">
        <v>5</v>
      </c>
      <c r="E12" s="10">
        <v>23</v>
      </c>
      <c r="F12" s="11" t="s">
        <v>6</v>
      </c>
      <c r="G12" s="18">
        <v>2</v>
      </c>
      <c r="H12" s="17">
        <f t="shared" si="1"/>
        <v>1.84</v>
      </c>
      <c r="I12" s="14" t="s">
        <v>7</v>
      </c>
    </row>
    <row r="13" s="1" customFormat="1" ht="16.5" spans="1:9">
      <c r="A13" s="6" t="s">
        <v>16</v>
      </c>
      <c r="B13" s="7" t="s">
        <v>17</v>
      </c>
      <c r="C13" s="8">
        <v>63</v>
      </c>
      <c r="D13" s="9" t="s">
        <v>5</v>
      </c>
      <c r="E13" s="10">
        <f>2.5*10</f>
        <v>25</v>
      </c>
      <c r="F13" s="15" t="s">
        <v>6</v>
      </c>
      <c r="G13" s="16"/>
      <c r="H13" s="13">
        <f>C13/1000*4*E13</f>
        <v>6.3</v>
      </c>
      <c r="I13" s="14" t="s">
        <v>7</v>
      </c>
    </row>
    <row r="14" s="1" customFormat="1" ht="15" customHeight="1" spans="1:9">
      <c r="A14" s="7" t="s">
        <v>18</v>
      </c>
      <c r="B14" s="7" t="s">
        <v>9</v>
      </c>
      <c r="C14" s="14">
        <v>163</v>
      </c>
      <c r="D14" s="9" t="s">
        <v>5</v>
      </c>
      <c r="E14" s="10">
        <v>36</v>
      </c>
      <c r="F14" s="15" t="s">
        <v>6</v>
      </c>
      <c r="G14" s="16"/>
      <c r="H14" s="17">
        <f t="shared" si="2"/>
        <v>18.431388</v>
      </c>
      <c r="I14" s="14" t="s">
        <v>7</v>
      </c>
    </row>
    <row r="15" s="1" customFormat="1" ht="15" customHeight="1" spans="1:9">
      <c r="A15" s="7" t="s">
        <v>18</v>
      </c>
      <c r="B15" s="7" t="s">
        <v>9</v>
      </c>
      <c r="C15" s="14">
        <v>108</v>
      </c>
      <c r="D15" s="9" t="s">
        <v>5</v>
      </c>
      <c r="E15" s="10">
        <f>44+30+36+50</f>
        <v>160</v>
      </c>
      <c r="F15" s="15" t="s">
        <v>6</v>
      </c>
      <c r="G15" s="16"/>
      <c r="H15" s="17">
        <f t="shared" si="2"/>
        <v>54.27648</v>
      </c>
      <c r="I15" s="14" t="s">
        <v>7</v>
      </c>
    </row>
    <row r="16" s="1" customFormat="1" ht="15" customHeight="1" spans="1:9">
      <c r="A16" s="7" t="s">
        <v>18</v>
      </c>
      <c r="B16" s="7" t="s">
        <v>9</v>
      </c>
      <c r="C16" s="14">
        <v>108</v>
      </c>
      <c r="D16" s="9" t="s">
        <v>5</v>
      </c>
      <c r="E16" s="10">
        <f>3.14*14</f>
        <v>43.96</v>
      </c>
      <c r="F16" s="15" t="s">
        <v>6</v>
      </c>
      <c r="G16" s="16"/>
      <c r="H16" s="17">
        <f t="shared" si="2"/>
        <v>14.91246288</v>
      </c>
      <c r="I16" s="14" t="s">
        <v>7</v>
      </c>
    </row>
    <row r="17" s="1" customFormat="1" ht="16.5" spans="1:9">
      <c r="A17" s="6" t="s">
        <v>16</v>
      </c>
      <c r="B17" s="7" t="s">
        <v>17</v>
      </c>
      <c r="C17" s="8">
        <v>63</v>
      </c>
      <c r="D17" s="9" t="s">
        <v>5</v>
      </c>
      <c r="E17" s="10">
        <f>1.5*17</f>
        <v>25.5</v>
      </c>
      <c r="F17" s="15" t="s">
        <v>6</v>
      </c>
      <c r="G17" s="16"/>
      <c r="H17" s="13">
        <f>C17/1000*4*E17</f>
        <v>6.426</v>
      </c>
      <c r="I17" s="14" t="s">
        <v>7</v>
      </c>
    </row>
    <row r="18" s="1" customFormat="1" ht="16.5" spans="1:9">
      <c r="A18" s="6" t="s">
        <v>3</v>
      </c>
      <c r="B18" s="7" t="s">
        <v>4</v>
      </c>
      <c r="C18" s="8">
        <v>10</v>
      </c>
      <c r="D18" s="9" t="s">
        <v>5</v>
      </c>
      <c r="E18" s="10">
        <v>42</v>
      </c>
      <c r="F18" s="11" t="s">
        <v>6</v>
      </c>
      <c r="G18" s="12">
        <f>IF(C18=10,0.392,IF(C18=12,0.452,IF(C18=14,0.52,IF(C18=16,0.58,IF(C18=20,0.7,IF(C18=22,0.756,IF(C18=8,0.332,IF(C18=18,0.632,查表))))))))</f>
        <v>0.392</v>
      </c>
      <c r="H18" s="13">
        <f>G18*E18</f>
        <v>16.464</v>
      </c>
      <c r="I18" s="14" t="s">
        <v>7</v>
      </c>
    </row>
    <row r="19" s="1" customFormat="1" ht="15" customHeight="1" spans="1:9">
      <c r="A19" s="7" t="s">
        <v>8</v>
      </c>
      <c r="B19" s="7" t="s">
        <v>9</v>
      </c>
      <c r="C19" s="14">
        <v>32</v>
      </c>
      <c r="D19" s="9" t="s">
        <v>5</v>
      </c>
      <c r="E19" s="10">
        <v>42</v>
      </c>
      <c r="F19" s="15" t="s">
        <v>6</v>
      </c>
      <c r="G19" s="16"/>
      <c r="H19" s="17">
        <f>C19*3.141*0.001*E19</f>
        <v>4.221504</v>
      </c>
      <c r="I19" s="14" t="s">
        <v>7</v>
      </c>
    </row>
    <row r="20" s="1" customFormat="1" ht="16.5" spans="1:9">
      <c r="A20" s="7" t="s">
        <v>10</v>
      </c>
      <c r="B20" s="6" t="s">
        <v>11</v>
      </c>
      <c r="C20" s="14">
        <v>0.04</v>
      </c>
      <c r="D20" s="9" t="s">
        <v>5</v>
      </c>
      <c r="E20" s="10">
        <v>84</v>
      </c>
      <c r="F20" s="11" t="s">
        <v>6</v>
      </c>
      <c r="G20" s="18">
        <v>2</v>
      </c>
      <c r="H20" s="17">
        <f t="shared" ref="H20:H22" si="3">C20*E20*G20</f>
        <v>6.72</v>
      </c>
      <c r="I20" s="14" t="s">
        <v>7</v>
      </c>
    </row>
    <row r="21" s="1" customFormat="1" ht="16.5" spans="1:9">
      <c r="A21" s="7" t="s">
        <v>12</v>
      </c>
      <c r="B21" s="6" t="s">
        <v>11</v>
      </c>
      <c r="C21" s="14">
        <v>0.04</v>
      </c>
      <c r="D21" s="9" t="s">
        <v>5</v>
      </c>
      <c r="E21" s="10">
        <v>40</v>
      </c>
      <c r="F21" s="11" t="s">
        <v>6</v>
      </c>
      <c r="G21" s="18">
        <v>2</v>
      </c>
      <c r="H21" s="17">
        <f t="shared" si="3"/>
        <v>3.2</v>
      </c>
      <c r="I21" s="14" t="s">
        <v>7</v>
      </c>
    </row>
    <row r="22" s="1" customFormat="1" ht="16.5" spans="1:9">
      <c r="A22" s="7" t="s">
        <v>12</v>
      </c>
      <c r="B22" s="6" t="s">
        <v>11</v>
      </c>
      <c r="C22" s="14">
        <v>0.06</v>
      </c>
      <c r="D22" s="9" t="s">
        <v>5</v>
      </c>
      <c r="E22" s="10">
        <v>8</v>
      </c>
      <c r="F22" s="11" t="s">
        <v>6</v>
      </c>
      <c r="G22" s="18">
        <v>4</v>
      </c>
      <c r="H22" s="17">
        <f t="shared" si="3"/>
        <v>1.92</v>
      </c>
      <c r="I22" s="14" t="s">
        <v>7</v>
      </c>
    </row>
    <row r="23" s="1" customFormat="1" ht="15" customHeight="1" spans="1:9">
      <c r="A23" s="7" t="s">
        <v>13</v>
      </c>
      <c r="B23" s="7" t="s">
        <v>9</v>
      </c>
      <c r="C23" s="14">
        <v>20</v>
      </c>
      <c r="D23" s="9" t="s">
        <v>5</v>
      </c>
      <c r="E23" s="10">
        <f>0.5*19</f>
        <v>9.5</v>
      </c>
      <c r="F23" s="15" t="s">
        <v>6</v>
      </c>
      <c r="G23" s="16"/>
      <c r="H23" s="17">
        <f>C23*3.141*0.001*E23</f>
        <v>0.59679</v>
      </c>
      <c r="I23" s="14" t="s">
        <v>7</v>
      </c>
    </row>
    <row r="24" s="1" customFormat="1" ht="16.5" spans="1:9">
      <c r="A24" s="7" t="s">
        <v>14</v>
      </c>
      <c r="B24" s="6" t="s">
        <v>11</v>
      </c>
      <c r="C24" s="14">
        <v>0.6</v>
      </c>
      <c r="D24" s="9" t="s">
        <v>5</v>
      </c>
      <c r="E24" s="10">
        <v>4</v>
      </c>
      <c r="F24" s="11" t="s">
        <v>6</v>
      </c>
      <c r="G24" s="18">
        <v>1</v>
      </c>
      <c r="H24" s="17">
        <f t="shared" ref="H24:H27" si="4">C24*E24*G24</f>
        <v>2.4</v>
      </c>
      <c r="I24" s="14" t="s">
        <v>7</v>
      </c>
    </row>
    <row r="25" s="1" customFormat="1" ht="16.5" spans="1:9">
      <c r="A25" s="7" t="s">
        <v>15</v>
      </c>
      <c r="B25" s="6" t="s">
        <v>11</v>
      </c>
      <c r="C25" s="14">
        <v>0.2</v>
      </c>
      <c r="D25" s="9" t="s">
        <v>5</v>
      </c>
      <c r="E25" s="10">
        <v>23</v>
      </c>
      <c r="F25" s="11" t="s">
        <v>6</v>
      </c>
      <c r="G25" s="18">
        <v>4</v>
      </c>
      <c r="H25" s="17">
        <f t="shared" si="4"/>
        <v>18.4</v>
      </c>
      <c r="I25" s="14" t="s">
        <v>7</v>
      </c>
    </row>
    <row r="26" s="1" customFormat="1" ht="15" customHeight="1" spans="1:9">
      <c r="A26" s="7" t="s">
        <v>8</v>
      </c>
      <c r="B26" s="7" t="s">
        <v>9</v>
      </c>
      <c r="C26" s="14">
        <v>32</v>
      </c>
      <c r="D26" s="9" t="s">
        <v>5</v>
      </c>
      <c r="E26" s="10">
        <v>46</v>
      </c>
      <c r="F26" s="15" t="s">
        <v>6</v>
      </c>
      <c r="G26" s="16"/>
      <c r="H26" s="17">
        <f t="shared" ref="H26:H31" si="5">C26*3.141*0.001*E26</f>
        <v>4.623552</v>
      </c>
      <c r="I26" s="14" t="s">
        <v>7</v>
      </c>
    </row>
    <row r="27" s="1" customFormat="1" ht="16.5" spans="1:9">
      <c r="A27" s="7" t="s">
        <v>10</v>
      </c>
      <c r="B27" s="6" t="s">
        <v>11</v>
      </c>
      <c r="C27" s="14">
        <v>0.04</v>
      </c>
      <c r="D27" s="9" t="s">
        <v>5</v>
      </c>
      <c r="E27" s="10">
        <v>23</v>
      </c>
      <c r="F27" s="11" t="s">
        <v>6</v>
      </c>
      <c r="G27" s="18">
        <v>2</v>
      </c>
      <c r="H27" s="17">
        <f t="shared" si="4"/>
        <v>1.84</v>
      </c>
      <c r="I27" s="14" t="s">
        <v>7</v>
      </c>
    </row>
    <row r="28" s="1" customFormat="1" ht="16.5" spans="1:9">
      <c r="A28" s="6" t="s">
        <v>16</v>
      </c>
      <c r="B28" s="7" t="s">
        <v>17</v>
      </c>
      <c r="C28" s="8">
        <v>63</v>
      </c>
      <c r="D28" s="9" t="s">
        <v>5</v>
      </c>
      <c r="E28" s="10">
        <f>2.5*10</f>
        <v>25</v>
      </c>
      <c r="F28" s="15" t="s">
        <v>6</v>
      </c>
      <c r="G28" s="16"/>
      <c r="H28" s="13">
        <f>C28/1000*4*E28</f>
        <v>6.3</v>
      </c>
      <c r="I28" s="14" t="s">
        <v>7</v>
      </c>
    </row>
    <row r="29" s="1" customFormat="1" ht="15" customHeight="1" spans="1:9">
      <c r="A29" s="7" t="s">
        <v>18</v>
      </c>
      <c r="B29" s="7" t="s">
        <v>9</v>
      </c>
      <c r="C29" s="14">
        <v>163</v>
      </c>
      <c r="D29" s="9" t="s">
        <v>5</v>
      </c>
      <c r="E29" s="10">
        <v>36</v>
      </c>
      <c r="F29" s="15" t="s">
        <v>6</v>
      </c>
      <c r="G29" s="16"/>
      <c r="H29" s="17">
        <f t="shared" si="5"/>
        <v>18.431388</v>
      </c>
      <c r="I29" s="14" t="s">
        <v>7</v>
      </c>
    </row>
    <row r="30" s="1" customFormat="1" ht="15" customHeight="1" spans="1:9">
      <c r="A30" s="7" t="s">
        <v>18</v>
      </c>
      <c r="B30" s="7" t="s">
        <v>9</v>
      </c>
      <c r="C30" s="14">
        <v>108</v>
      </c>
      <c r="D30" s="9" t="s">
        <v>5</v>
      </c>
      <c r="E30" s="10">
        <f>44+30+36+50</f>
        <v>160</v>
      </c>
      <c r="F30" s="15" t="s">
        <v>6</v>
      </c>
      <c r="G30" s="16"/>
      <c r="H30" s="17">
        <f t="shared" si="5"/>
        <v>54.27648</v>
      </c>
      <c r="I30" s="14" t="s">
        <v>7</v>
      </c>
    </row>
    <row r="31" s="1" customFormat="1" ht="15" customHeight="1" spans="1:9">
      <c r="A31" s="7" t="s">
        <v>18</v>
      </c>
      <c r="B31" s="7" t="s">
        <v>9</v>
      </c>
      <c r="C31" s="14">
        <v>108</v>
      </c>
      <c r="D31" s="9" t="s">
        <v>5</v>
      </c>
      <c r="E31" s="10">
        <f>3.14*14</f>
        <v>43.96</v>
      </c>
      <c r="F31" s="15" t="s">
        <v>6</v>
      </c>
      <c r="G31" s="16"/>
      <c r="H31" s="17">
        <f t="shared" si="5"/>
        <v>14.91246288</v>
      </c>
      <c r="I31" s="14" t="s">
        <v>7</v>
      </c>
    </row>
    <row r="32" s="1" customFormat="1" ht="16.5" spans="1:9">
      <c r="A32" s="6" t="s">
        <v>16</v>
      </c>
      <c r="B32" s="7" t="s">
        <v>17</v>
      </c>
      <c r="C32" s="8">
        <v>63</v>
      </c>
      <c r="D32" s="9" t="s">
        <v>5</v>
      </c>
      <c r="E32" s="10">
        <f>1.5*17</f>
        <v>25.5</v>
      </c>
      <c r="F32" s="15" t="s">
        <v>6</v>
      </c>
      <c r="G32" s="16"/>
      <c r="H32" s="13">
        <f>C32/1000*4*E32</f>
        <v>6.426</v>
      </c>
      <c r="I32" s="14" t="s">
        <v>7</v>
      </c>
    </row>
    <row r="33" s="1" customFormat="1" ht="16.5" spans="1:9">
      <c r="A33" s="19" t="s">
        <v>19</v>
      </c>
      <c r="B33" s="20">
        <v>200</v>
      </c>
      <c r="C33" s="21">
        <v>200</v>
      </c>
      <c r="D33" s="9" t="s">
        <v>5</v>
      </c>
      <c r="E33" s="22">
        <v>14</v>
      </c>
      <c r="F33" s="23" t="s">
        <v>6</v>
      </c>
      <c r="G33" s="24">
        <v>1</v>
      </c>
      <c r="H33" s="25">
        <f t="shared" ref="H33:H38" si="6">(B33*2+C33*4)/1000*E33*G33</f>
        <v>16.8</v>
      </c>
      <c r="I33" s="34" t="s">
        <v>20</v>
      </c>
    </row>
    <row r="34" s="1" customFormat="1" ht="16.5" spans="1:9">
      <c r="A34" s="19" t="s">
        <v>19</v>
      </c>
      <c r="B34" s="20">
        <v>150</v>
      </c>
      <c r="C34" s="21">
        <v>75</v>
      </c>
      <c r="D34" s="9" t="s">
        <v>5</v>
      </c>
      <c r="E34" s="22">
        <v>4</v>
      </c>
      <c r="F34" s="23" t="s">
        <v>6</v>
      </c>
      <c r="G34" s="24">
        <v>1</v>
      </c>
      <c r="H34" s="25">
        <f t="shared" si="6"/>
        <v>2.4</v>
      </c>
      <c r="I34" s="34" t="s">
        <v>20</v>
      </c>
    </row>
    <row r="35" s="2" customFormat="1" spans="1:1">
      <c r="A35" s="2" t="s">
        <v>21</v>
      </c>
    </row>
    <row r="36" s="1" customFormat="1" ht="16.5" spans="1:9">
      <c r="A36" s="19" t="s">
        <v>22</v>
      </c>
      <c r="B36" s="20">
        <v>150</v>
      </c>
      <c r="C36" s="21">
        <v>150</v>
      </c>
      <c r="D36" s="9" t="s">
        <v>5</v>
      </c>
      <c r="E36" s="22">
        <v>15</v>
      </c>
      <c r="F36" s="23" t="s">
        <v>6</v>
      </c>
      <c r="G36" s="24">
        <v>4</v>
      </c>
      <c r="H36" s="25">
        <f t="shared" si="6"/>
        <v>54</v>
      </c>
      <c r="I36" s="34" t="s">
        <v>20</v>
      </c>
    </row>
    <row r="37" s="1" customFormat="1" ht="16.5" spans="1:9">
      <c r="A37" s="19" t="s">
        <v>22</v>
      </c>
      <c r="B37" s="20">
        <v>200</v>
      </c>
      <c r="C37" s="21">
        <v>150</v>
      </c>
      <c r="D37" s="9" t="s">
        <v>5</v>
      </c>
      <c r="E37" s="22">
        <v>3</v>
      </c>
      <c r="F37" s="23" t="s">
        <v>6</v>
      </c>
      <c r="G37" s="24">
        <v>10</v>
      </c>
      <c r="H37" s="25">
        <f t="shared" si="6"/>
        <v>30</v>
      </c>
      <c r="I37" s="34" t="s">
        <v>20</v>
      </c>
    </row>
    <row r="38" s="1" customFormat="1" ht="16.5" spans="1:9">
      <c r="A38" s="19" t="s">
        <v>22</v>
      </c>
      <c r="B38" s="20">
        <v>200</v>
      </c>
      <c r="C38" s="21">
        <v>100</v>
      </c>
      <c r="D38" s="9" t="s">
        <v>5</v>
      </c>
      <c r="E38" s="22">
        <v>1.5</v>
      </c>
      <c r="F38" s="23" t="s">
        <v>6</v>
      </c>
      <c r="G38" s="24">
        <v>18</v>
      </c>
      <c r="H38" s="25">
        <f t="shared" si="6"/>
        <v>21.6</v>
      </c>
      <c r="I38" s="34" t="s">
        <v>20</v>
      </c>
    </row>
    <row r="39" s="1" customFormat="1" ht="16.5" spans="1:9">
      <c r="A39" s="6" t="s">
        <v>16</v>
      </c>
      <c r="B39" s="7" t="s">
        <v>17</v>
      </c>
      <c r="C39" s="8">
        <v>70</v>
      </c>
      <c r="D39" s="9" t="s">
        <v>5</v>
      </c>
      <c r="E39" s="10">
        <f>8*30</f>
        <v>240</v>
      </c>
      <c r="F39" s="15" t="s">
        <v>6</v>
      </c>
      <c r="G39" s="16"/>
      <c r="H39" s="13">
        <f>C39/1000*4*E39</f>
        <v>67.2</v>
      </c>
      <c r="I39" s="10" t="s">
        <v>7</v>
      </c>
    </row>
    <row r="40" s="2" customFormat="1" spans="1:1">
      <c r="A40" s="2" t="s">
        <v>23</v>
      </c>
    </row>
    <row r="41" s="1" customFormat="1" ht="13" customHeight="1" spans="1:9">
      <c r="A41" s="26" t="s">
        <v>15</v>
      </c>
      <c r="B41" s="27" t="s">
        <v>24</v>
      </c>
      <c r="C41" s="21">
        <v>14</v>
      </c>
      <c r="D41" s="9" t="s">
        <v>5</v>
      </c>
      <c r="E41" s="22">
        <f>12*5</f>
        <v>60</v>
      </c>
      <c r="F41" s="23" t="s">
        <v>6</v>
      </c>
      <c r="G41" s="28">
        <f>IF(C41=10,0.392,IF(C41=12,0.452,IF(C41=14,0.52,IF(C41=16,0.58,IF(C41=20,0.7,IF(C41=22,0.756,IF(C41=8,0.332,IF(C41=18,0.632,查表))))))))</f>
        <v>0.52</v>
      </c>
      <c r="H41" s="29">
        <f>G41*E41</f>
        <v>31.2</v>
      </c>
      <c r="I41" s="22" t="s">
        <v>25</v>
      </c>
    </row>
    <row r="42" s="1" customFormat="1" ht="13" customHeight="1" spans="1:9">
      <c r="A42" s="26" t="s">
        <v>26</v>
      </c>
      <c r="B42" s="30" t="s">
        <v>17</v>
      </c>
      <c r="C42" s="21">
        <v>63</v>
      </c>
      <c r="D42" s="31" t="s">
        <v>5</v>
      </c>
      <c r="E42" s="22">
        <v>10</v>
      </c>
      <c r="F42" s="32" t="s">
        <v>6</v>
      </c>
      <c r="G42" s="33">
        <v>1</v>
      </c>
      <c r="H42" s="29">
        <f>C42*4/1000*E42*G42</f>
        <v>2.52</v>
      </c>
      <c r="I42" s="35" t="s">
        <v>20</v>
      </c>
    </row>
    <row r="43" s="1" customFormat="1" ht="15" customHeight="1" spans="1:9">
      <c r="A43" s="7" t="s">
        <v>8</v>
      </c>
      <c r="B43" s="7" t="s">
        <v>9</v>
      </c>
      <c r="C43" s="14">
        <v>32</v>
      </c>
      <c r="D43" s="9" t="s">
        <v>5</v>
      </c>
      <c r="E43" s="10">
        <f>24*5</f>
        <v>120</v>
      </c>
      <c r="F43" s="15" t="s">
        <v>6</v>
      </c>
      <c r="G43" s="16"/>
      <c r="H43" s="17">
        <f>C43*3.141*0.001*E43</f>
        <v>12.06144</v>
      </c>
      <c r="I43" s="14" t="s">
        <v>7</v>
      </c>
    </row>
    <row r="44" s="1" customFormat="1" ht="16.5" spans="1:9">
      <c r="A44" s="7" t="s">
        <v>10</v>
      </c>
      <c r="B44" s="6" t="s">
        <v>11</v>
      </c>
      <c r="C44" s="14">
        <v>0.04</v>
      </c>
      <c r="D44" s="9" t="s">
        <v>5</v>
      </c>
      <c r="E44" s="10">
        <v>24</v>
      </c>
      <c r="F44" s="11" t="s">
        <v>6</v>
      </c>
      <c r="G44" s="18">
        <v>10</v>
      </c>
      <c r="H44" s="17">
        <f>C44*E44*G44</f>
        <v>9.6</v>
      </c>
      <c r="I44" s="14" t="s">
        <v>7</v>
      </c>
    </row>
    <row r="45" s="1" customFormat="1" ht="13" customHeight="1" spans="1:9">
      <c r="A45" s="26" t="s">
        <v>15</v>
      </c>
      <c r="B45" s="27" t="s">
        <v>24</v>
      </c>
      <c r="C45" s="21">
        <v>14</v>
      </c>
      <c r="D45" s="9" t="s">
        <v>5</v>
      </c>
      <c r="E45" s="22">
        <f>26*6</f>
        <v>156</v>
      </c>
      <c r="F45" s="23" t="s">
        <v>6</v>
      </c>
      <c r="G45" s="28">
        <f>IF(C45=10,0.392,IF(C45=12,0.452,IF(C45=14,0.52,IF(C45=16,0.58,IF(C45=20,0.7,IF(C45=22,0.756,IF(C45=8,0.332,IF(C45=18,0.632,查表))))))))</f>
        <v>0.52</v>
      </c>
      <c r="H45" s="29">
        <f>G45*E45</f>
        <v>81.12</v>
      </c>
      <c r="I45" s="22" t="s">
        <v>25</v>
      </c>
    </row>
    <row r="46" s="1" customFormat="1" ht="15" customHeight="1" spans="1:9">
      <c r="A46" s="7" t="s">
        <v>8</v>
      </c>
      <c r="B46" s="7" t="s">
        <v>9</v>
      </c>
      <c r="C46" s="14">
        <v>32</v>
      </c>
      <c r="D46" s="9" t="s">
        <v>5</v>
      </c>
      <c r="E46" s="10">
        <f>30*6</f>
        <v>180</v>
      </c>
      <c r="F46" s="15" t="s">
        <v>6</v>
      </c>
      <c r="G46" s="16"/>
      <c r="H46" s="17">
        <f>C46*3.141*0.001*E46</f>
        <v>18.09216</v>
      </c>
      <c r="I46" s="14" t="s">
        <v>7</v>
      </c>
    </row>
    <row r="47" s="1" customFormat="1" ht="16.5" spans="1:9">
      <c r="A47" s="7" t="s">
        <v>10</v>
      </c>
      <c r="B47" s="6" t="s">
        <v>11</v>
      </c>
      <c r="C47" s="14">
        <v>0.04</v>
      </c>
      <c r="D47" s="9" t="s">
        <v>5</v>
      </c>
      <c r="E47" s="10">
        <v>30</v>
      </c>
      <c r="F47" s="11" t="s">
        <v>6</v>
      </c>
      <c r="G47" s="18">
        <v>12</v>
      </c>
      <c r="H47" s="17">
        <f>C47*E47*G47</f>
        <v>14.4</v>
      </c>
      <c r="I47" s="14" t="s">
        <v>7</v>
      </c>
    </row>
    <row r="48" s="1" customFormat="1" ht="13" customHeight="1" spans="1:9">
      <c r="A48" s="26" t="s">
        <v>27</v>
      </c>
      <c r="B48" s="27" t="s">
        <v>24</v>
      </c>
      <c r="C48" s="21">
        <v>14</v>
      </c>
      <c r="D48" s="9" t="s">
        <v>5</v>
      </c>
      <c r="E48" s="22">
        <v>36</v>
      </c>
      <c r="F48" s="23" t="s">
        <v>6</v>
      </c>
      <c r="G48" s="28">
        <f>IF(C48=10,0.392,IF(C48=12,0.452,IF(C48=14,0.52,IF(C48=16,0.58,IF(C48=20,0.7,IF(C48=22,0.756,IF(C48=8,0.332,IF(C48=18,0.632,查表))))))))</f>
        <v>0.52</v>
      </c>
      <c r="H48" s="29">
        <f>G48*E48</f>
        <v>18.72</v>
      </c>
      <c r="I48" s="22" t="s">
        <v>25</v>
      </c>
    </row>
    <row r="49" s="1" customFormat="1" ht="13" customHeight="1" spans="1:9">
      <c r="A49" s="26" t="s">
        <v>16</v>
      </c>
      <c r="B49" s="30" t="s">
        <v>17</v>
      </c>
      <c r="C49" s="21">
        <v>100</v>
      </c>
      <c r="D49" s="31" t="s">
        <v>5</v>
      </c>
      <c r="E49" s="22">
        <f>0.6*25</f>
        <v>15</v>
      </c>
      <c r="F49" s="32" t="s">
        <v>6</v>
      </c>
      <c r="G49" s="33">
        <v>1</v>
      </c>
      <c r="H49" s="29">
        <f>C49*4/1000*E49*G49</f>
        <v>6</v>
      </c>
      <c r="I49" s="35" t="s">
        <v>20</v>
      </c>
    </row>
    <row r="50" s="1" customFormat="1" ht="16.5" spans="1:9">
      <c r="A50" s="19" t="s">
        <v>28</v>
      </c>
      <c r="B50" s="20">
        <v>200</v>
      </c>
      <c r="C50" s="21">
        <v>100</v>
      </c>
      <c r="D50" s="9" t="s">
        <v>5</v>
      </c>
      <c r="E50" s="22">
        <v>2</v>
      </c>
      <c r="F50" s="23" t="s">
        <v>6</v>
      </c>
      <c r="G50" s="24">
        <v>7</v>
      </c>
      <c r="H50" s="25">
        <f>(B50*2+C50*4)/1000*E50*G50</f>
        <v>11.2</v>
      </c>
      <c r="I50" s="34" t="s">
        <v>20</v>
      </c>
    </row>
    <row r="51" s="1" customFormat="1" ht="15" customHeight="1" spans="1:9">
      <c r="A51" s="7" t="s">
        <v>29</v>
      </c>
      <c r="B51" s="7" t="s">
        <v>9</v>
      </c>
      <c r="C51" s="14">
        <v>108</v>
      </c>
      <c r="D51" s="9" t="s">
        <v>5</v>
      </c>
      <c r="E51" s="10">
        <f>3*11</f>
        <v>33</v>
      </c>
      <c r="F51" s="15" t="s">
        <v>6</v>
      </c>
      <c r="G51" s="16"/>
      <c r="H51" s="17">
        <f t="shared" ref="H51:H54" si="7">C51*3.141*0.001*E51</f>
        <v>11.194524</v>
      </c>
      <c r="I51" s="14" t="s">
        <v>7</v>
      </c>
    </row>
    <row r="52" s="1" customFormat="1" ht="16.5" spans="1:9">
      <c r="A52" s="19" t="s">
        <v>28</v>
      </c>
      <c r="B52" s="20">
        <v>200</v>
      </c>
      <c r="C52" s="21">
        <v>100</v>
      </c>
      <c r="D52" s="9" t="s">
        <v>5</v>
      </c>
      <c r="E52" s="22">
        <v>1.2</v>
      </c>
      <c r="F52" s="23" t="s">
        <v>6</v>
      </c>
      <c r="G52" s="24">
        <v>14</v>
      </c>
      <c r="H52" s="25">
        <f>(B52*2+C52*4)/1000*E52*G52</f>
        <v>13.44</v>
      </c>
      <c r="I52" s="34" t="s">
        <v>20</v>
      </c>
    </row>
    <row r="53" s="1" customFormat="1" ht="15" customHeight="1" spans="1:9">
      <c r="A53" s="7" t="s">
        <v>30</v>
      </c>
      <c r="B53" s="7" t="s">
        <v>9</v>
      </c>
      <c r="C53" s="14">
        <v>22</v>
      </c>
      <c r="D53" s="9" t="s">
        <v>5</v>
      </c>
      <c r="E53" s="10">
        <f>28*4</f>
        <v>112</v>
      </c>
      <c r="F53" s="15" t="s">
        <v>6</v>
      </c>
      <c r="G53" s="16"/>
      <c r="H53" s="17">
        <f t="shared" si="7"/>
        <v>7.739424</v>
      </c>
      <c r="I53" s="14" t="s">
        <v>7</v>
      </c>
    </row>
    <row r="54" s="1" customFormat="1" ht="15" customHeight="1" spans="1:9">
      <c r="A54" s="7" t="s">
        <v>30</v>
      </c>
      <c r="B54" s="7" t="s">
        <v>9</v>
      </c>
      <c r="C54" s="14">
        <v>22</v>
      </c>
      <c r="D54" s="9" t="s">
        <v>5</v>
      </c>
      <c r="E54" s="10">
        <f>10*11</f>
        <v>110</v>
      </c>
      <c r="F54" s="15" t="s">
        <v>6</v>
      </c>
      <c r="G54" s="16"/>
      <c r="H54" s="17">
        <f t="shared" si="7"/>
        <v>7.60122</v>
      </c>
      <c r="I54" s="14" t="s">
        <v>7</v>
      </c>
    </row>
    <row r="55" s="1" customFormat="1" ht="16.5" spans="1:9">
      <c r="A55" s="7" t="s">
        <v>31</v>
      </c>
      <c r="B55" s="6" t="s">
        <v>11</v>
      </c>
      <c r="C55" s="14">
        <v>0.6</v>
      </c>
      <c r="D55" s="9" t="s">
        <v>5</v>
      </c>
      <c r="E55" s="10">
        <v>72</v>
      </c>
      <c r="F55" s="11" t="s">
        <v>6</v>
      </c>
      <c r="G55" s="18">
        <v>1</v>
      </c>
      <c r="H55" s="17">
        <f>C55*E55*G55</f>
        <v>43.2</v>
      </c>
      <c r="I55" s="14" t="s">
        <v>7</v>
      </c>
    </row>
    <row r="56" s="1" customFormat="1" ht="15" customHeight="1" spans="1:9">
      <c r="A56" s="7" t="s">
        <v>32</v>
      </c>
      <c r="B56" s="7" t="s">
        <v>9</v>
      </c>
      <c r="C56" s="14">
        <v>76</v>
      </c>
      <c r="D56" s="9" t="s">
        <v>5</v>
      </c>
      <c r="E56" s="10">
        <v>24</v>
      </c>
      <c r="F56" s="15" t="s">
        <v>6</v>
      </c>
      <c r="G56" s="16"/>
      <c r="H56" s="17">
        <f>C56*3.141*0.001*E56</f>
        <v>5.729184</v>
      </c>
      <c r="I56" s="14" t="s">
        <v>7</v>
      </c>
    </row>
    <row r="57" s="1" customFormat="1" ht="13" customHeight="1" spans="1:9">
      <c r="A57" s="26" t="s">
        <v>27</v>
      </c>
      <c r="B57" s="27" t="s">
        <v>24</v>
      </c>
      <c r="C57" s="21">
        <v>12</v>
      </c>
      <c r="D57" s="9" t="s">
        <v>5</v>
      </c>
      <c r="E57" s="22">
        <f>1.2*6</f>
        <v>7.2</v>
      </c>
      <c r="F57" s="23" t="s">
        <v>6</v>
      </c>
      <c r="G57" s="28">
        <f>IF(C57=10,0.392,IF(C57=12,0.452,IF(C57=14,0.52,IF(C57=16,0.58,IF(C57=20,0.7,IF(C57=22,0.756,IF(C57=8,0.332,IF(C57=18,0.632,查表))))))))</f>
        <v>0.452</v>
      </c>
      <c r="H57" s="29">
        <f>G57*E57</f>
        <v>3.2544</v>
      </c>
      <c r="I57" s="22" t="s">
        <v>25</v>
      </c>
    </row>
    <row r="58" s="2" customFormat="1"/>
    <row r="59" s="2" customFormat="1" spans="1:1">
      <c r="A59" s="2" t="s">
        <v>33</v>
      </c>
    </row>
    <row r="60" s="2" customFormat="1" spans="1:1">
      <c r="A60" s="2" t="s">
        <v>34</v>
      </c>
    </row>
    <row r="61" s="1" customFormat="1" ht="16.5" spans="1:9">
      <c r="A61" s="7" t="s">
        <v>35</v>
      </c>
      <c r="B61" s="6" t="s">
        <v>11</v>
      </c>
      <c r="C61" s="14">
        <v>0.4</v>
      </c>
      <c r="D61" s="9" t="s">
        <v>5</v>
      </c>
      <c r="E61" s="10">
        <v>0.4</v>
      </c>
      <c r="F61" s="11" t="s">
        <v>6</v>
      </c>
      <c r="G61" s="18">
        <v>4</v>
      </c>
      <c r="H61" s="17">
        <f t="shared" ref="H61:H75" si="8">C61*E61*G61</f>
        <v>0.64</v>
      </c>
      <c r="I61" s="14" t="s">
        <v>7</v>
      </c>
    </row>
    <row r="62" s="1" customFormat="1" ht="16.5" spans="1:9">
      <c r="A62" s="7" t="s">
        <v>35</v>
      </c>
      <c r="B62" s="6" t="s">
        <v>11</v>
      </c>
      <c r="C62" s="14">
        <v>0.4</v>
      </c>
      <c r="D62" s="9" t="s">
        <v>5</v>
      </c>
      <c r="E62" s="10">
        <v>1.2</v>
      </c>
      <c r="F62" s="11" t="s">
        <v>6</v>
      </c>
      <c r="G62" s="18">
        <v>8</v>
      </c>
      <c r="H62" s="17">
        <f t="shared" si="8"/>
        <v>3.84</v>
      </c>
      <c r="I62" s="14" t="s">
        <v>7</v>
      </c>
    </row>
    <row r="63" s="1" customFormat="1" ht="16.5" spans="1:9">
      <c r="A63" s="7" t="s">
        <v>36</v>
      </c>
      <c r="B63" s="6" t="s">
        <v>37</v>
      </c>
      <c r="C63" s="14">
        <v>1.2</v>
      </c>
      <c r="D63" s="9" t="s">
        <v>5</v>
      </c>
      <c r="E63" s="10">
        <v>1.8</v>
      </c>
      <c r="F63" s="11" t="s">
        <v>6</v>
      </c>
      <c r="G63" s="18">
        <v>2</v>
      </c>
      <c r="H63" s="17">
        <f t="shared" si="8"/>
        <v>4.32</v>
      </c>
      <c r="I63" s="14" t="s">
        <v>7</v>
      </c>
    </row>
    <row r="64" s="1" customFormat="1" ht="16.5" spans="1:9">
      <c r="A64" s="7" t="s">
        <v>35</v>
      </c>
      <c r="B64" s="6" t="s">
        <v>11</v>
      </c>
      <c r="C64" s="14">
        <v>0.45</v>
      </c>
      <c r="D64" s="9" t="s">
        <v>5</v>
      </c>
      <c r="E64" s="10">
        <v>0.6</v>
      </c>
      <c r="F64" s="11" t="s">
        <v>6</v>
      </c>
      <c r="G64" s="18">
        <v>14</v>
      </c>
      <c r="H64" s="17">
        <f t="shared" si="8"/>
        <v>3.78</v>
      </c>
      <c r="I64" s="14" t="s">
        <v>7</v>
      </c>
    </row>
    <row r="65" s="1" customFormat="1" ht="16.5" spans="1:9">
      <c r="A65" s="7" t="s">
        <v>35</v>
      </c>
      <c r="B65" s="6" t="s">
        <v>11</v>
      </c>
      <c r="C65" s="14">
        <v>0.6</v>
      </c>
      <c r="D65" s="9" t="s">
        <v>5</v>
      </c>
      <c r="E65" s="10">
        <v>1.1</v>
      </c>
      <c r="F65" s="11" t="s">
        <v>6</v>
      </c>
      <c r="G65" s="18">
        <v>14</v>
      </c>
      <c r="H65" s="17">
        <f t="shared" si="8"/>
        <v>9.24</v>
      </c>
      <c r="I65" s="14" t="s">
        <v>7</v>
      </c>
    </row>
    <row r="66" s="1" customFormat="1" ht="16.5" spans="1:9">
      <c r="A66" s="7" t="s">
        <v>35</v>
      </c>
      <c r="B66" s="6" t="s">
        <v>11</v>
      </c>
      <c r="C66" s="14">
        <v>1.1</v>
      </c>
      <c r="D66" s="9" t="s">
        <v>5</v>
      </c>
      <c r="E66" s="10">
        <v>0.45</v>
      </c>
      <c r="F66" s="11" t="s">
        <v>6</v>
      </c>
      <c r="G66" s="18">
        <v>14</v>
      </c>
      <c r="H66" s="17">
        <f t="shared" si="8"/>
        <v>6.93</v>
      </c>
      <c r="I66" s="14" t="s">
        <v>7</v>
      </c>
    </row>
    <row r="67" s="1" customFormat="1" ht="16.5" spans="1:9">
      <c r="A67" s="7" t="s">
        <v>35</v>
      </c>
      <c r="B67" s="6" t="s">
        <v>11</v>
      </c>
      <c r="C67" s="14">
        <v>0.6</v>
      </c>
      <c r="D67" s="9" t="s">
        <v>5</v>
      </c>
      <c r="E67" s="10">
        <v>2</v>
      </c>
      <c r="F67" s="11" t="s">
        <v>6</v>
      </c>
      <c r="G67" s="18">
        <v>14</v>
      </c>
      <c r="H67" s="17">
        <f t="shared" si="8"/>
        <v>16.8</v>
      </c>
      <c r="I67" s="14" t="s">
        <v>7</v>
      </c>
    </row>
    <row r="68" s="1" customFormat="1" ht="16.5" spans="1:9">
      <c r="A68" s="7" t="s">
        <v>35</v>
      </c>
      <c r="B68" s="6" t="s">
        <v>11</v>
      </c>
      <c r="C68" s="14">
        <v>0.7</v>
      </c>
      <c r="D68" s="9" t="s">
        <v>5</v>
      </c>
      <c r="E68" s="10">
        <v>0.6</v>
      </c>
      <c r="F68" s="11" t="s">
        <v>6</v>
      </c>
      <c r="G68" s="18">
        <v>14</v>
      </c>
      <c r="H68" s="17">
        <f t="shared" si="8"/>
        <v>5.88</v>
      </c>
      <c r="I68" s="14" t="s">
        <v>7</v>
      </c>
    </row>
    <row r="69" s="1" customFormat="1" ht="16.5" spans="1:9">
      <c r="A69" s="7" t="s">
        <v>35</v>
      </c>
      <c r="B69" s="6" t="s">
        <v>11</v>
      </c>
      <c r="C69" s="14">
        <v>2</v>
      </c>
      <c r="D69" s="9" t="s">
        <v>5</v>
      </c>
      <c r="E69" s="10">
        <v>0.7</v>
      </c>
      <c r="F69" s="11" t="s">
        <v>6</v>
      </c>
      <c r="G69" s="18">
        <v>14</v>
      </c>
      <c r="H69" s="17">
        <f t="shared" si="8"/>
        <v>19.6</v>
      </c>
      <c r="I69" s="14" t="s">
        <v>7</v>
      </c>
    </row>
    <row r="70" s="1" customFormat="1" ht="16.5" spans="1:9">
      <c r="A70" s="7" t="s">
        <v>35</v>
      </c>
      <c r="B70" s="6" t="s">
        <v>11</v>
      </c>
      <c r="C70" s="14">
        <v>0.2</v>
      </c>
      <c r="D70" s="9" t="s">
        <v>5</v>
      </c>
      <c r="E70" s="10">
        <v>0.6</v>
      </c>
      <c r="F70" s="11" t="s">
        <v>6</v>
      </c>
      <c r="G70" s="18">
        <v>4</v>
      </c>
      <c r="H70" s="17">
        <f t="shared" si="8"/>
        <v>0.48</v>
      </c>
      <c r="I70" s="14" t="s">
        <v>7</v>
      </c>
    </row>
    <row r="71" s="1" customFormat="1" ht="16.5" spans="1:9">
      <c r="A71" s="7" t="s">
        <v>35</v>
      </c>
      <c r="B71" s="6" t="s">
        <v>11</v>
      </c>
      <c r="C71" s="14">
        <v>0.3</v>
      </c>
      <c r="D71" s="9" t="s">
        <v>5</v>
      </c>
      <c r="E71" s="10">
        <v>0.2</v>
      </c>
      <c r="F71" s="11" t="s">
        <v>6</v>
      </c>
      <c r="G71" s="18">
        <v>4</v>
      </c>
      <c r="H71" s="17">
        <f t="shared" si="8"/>
        <v>0.24</v>
      </c>
      <c r="I71" s="14" t="s">
        <v>7</v>
      </c>
    </row>
    <row r="72" s="1" customFormat="1" ht="16.5" spans="1:9">
      <c r="A72" s="7" t="s">
        <v>35</v>
      </c>
      <c r="B72" s="6" t="s">
        <v>11</v>
      </c>
      <c r="C72" s="14">
        <v>0.6</v>
      </c>
      <c r="D72" s="9" t="s">
        <v>5</v>
      </c>
      <c r="E72" s="10">
        <v>0.3</v>
      </c>
      <c r="F72" s="11" t="s">
        <v>6</v>
      </c>
      <c r="G72" s="18">
        <v>4</v>
      </c>
      <c r="H72" s="17">
        <f t="shared" si="8"/>
        <v>0.72</v>
      </c>
      <c r="I72" s="14" t="s">
        <v>7</v>
      </c>
    </row>
    <row r="73" s="1" customFormat="1" ht="16.5" spans="1:9">
      <c r="A73" s="7" t="s">
        <v>36</v>
      </c>
      <c r="B73" s="6" t="s">
        <v>37</v>
      </c>
      <c r="C73" s="14">
        <v>1.1</v>
      </c>
      <c r="D73" s="9" t="s">
        <v>5</v>
      </c>
      <c r="E73" s="10">
        <v>1.9</v>
      </c>
      <c r="F73" s="11" t="s">
        <v>6</v>
      </c>
      <c r="G73" s="18">
        <v>16</v>
      </c>
      <c r="H73" s="17">
        <f t="shared" si="8"/>
        <v>33.44</v>
      </c>
      <c r="I73" s="14" t="s">
        <v>7</v>
      </c>
    </row>
    <row r="74" s="1" customFormat="1" ht="16.5" spans="1:9">
      <c r="A74" s="7" t="s">
        <v>38</v>
      </c>
      <c r="B74" s="6" t="s">
        <v>11</v>
      </c>
      <c r="C74" s="14">
        <v>1.1</v>
      </c>
      <c r="D74" s="9" t="s">
        <v>5</v>
      </c>
      <c r="E74" s="10">
        <v>1.7</v>
      </c>
      <c r="F74" s="11" t="s">
        <v>6</v>
      </c>
      <c r="G74" s="18">
        <v>7</v>
      </c>
      <c r="H74" s="17">
        <f t="shared" si="8"/>
        <v>13.09</v>
      </c>
      <c r="I74" s="14" t="s">
        <v>7</v>
      </c>
    </row>
    <row r="75" s="1" customFormat="1" ht="16.5" spans="1:9">
      <c r="A75" s="7" t="s">
        <v>38</v>
      </c>
      <c r="B75" s="6" t="s">
        <v>11</v>
      </c>
      <c r="C75" s="14">
        <v>1</v>
      </c>
      <c r="D75" s="9" t="s">
        <v>5</v>
      </c>
      <c r="E75" s="10">
        <v>1</v>
      </c>
      <c r="F75" s="11" t="s">
        <v>6</v>
      </c>
      <c r="G75" s="18">
        <v>2</v>
      </c>
      <c r="H75" s="17">
        <f t="shared" si="8"/>
        <v>2</v>
      </c>
      <c r="I75" s="14" t="s">
        <v>7</v>
      </c>
    </row>
    <row r="76" s="2" customFormat="1" spans="1:1">
      <c r="A76" s="2" t="s">
        <v>39</v>
      </c>
    </row>
    <row r="77" s="1" customFormat="1" ht="13" customHeight="1" spans="1:9">
      <c r="A77" s="26" t="s">
        <v>27</v>
      </c>
      <c r="B77" s="27" t="s">
        <v>24</v>
      </c>
      <c r="C77" s="21">
        <v>8</v>
      </c>
      <c r="D77" s="9" t="s">
        <v>5</v>
      </c>
      <c r="E77" s="22">
        <v>74</v>
      </c>
      <c r="F77" s="23" t="s">
        <v>6</v>
      </c>
      <c r="G77" s="28">
        <f>IF(C77=10,0.392,IF(C77=12,0.452,IF(C77=14,0.52,IF(C77=16,0.58,IF(C77=20,0.7,IF(C77=22,0.756,IF(C77=8,0.332,IF(C77=18,0.632,查表))))))))</f>
        <v>0.332</v>
      </c>
      <c r="H77" s="29">
        <f>G77*E77</f>
        <v>24.568</v>
      </c>
      <c r="I77" s="22" t="s">
        <v>25</v>
      </c>
    </row>
    <row r="78" s="1" customFormat="1" ht="13" customHeight="1" spans="1:9">
      <c r="A78" s="26" t="s">
        <v>27</v>
      </c>
      <c r="B78" s="27" t="s">
        <v>24</v>
      </c>
      <c r="C78" s="21">
        <v>10</v>
      </c>
      <c r="D78" s="9" t="s">
        <v>5</v>
      </c>
      <c r="E78" s="22">
        <f>1.5*35</f>
        <v>52.5</v>
      </c>
      <c r="F78" s="23" t="s">
        <v>6</v>
      </c>
      <c r="G78" s="28">
        <f>IF(C78=10,0.392,IF(C78=12,0.452,IF(C78=14,0.52,IF(C78=16,0.58,IF(C78=20,0.7,IF(C78=22,0.756,IF(C78=8,0.332,IF(C78=18,0.632,查表))))))))</f>
        <v>0.392</v>
      </c>
      <c r="H78" s="29">
        <f>G78*E78</f>
        <v>20.58</v>
      </c>
      <c r="I78" s="22" t="s">
        <v>25</v>
      </c>
    </row>
    <row r="79" s="1" customFormat="1" ht="15" customHeight="1" spans="1:9">
      <c r="A79" s="7" t="s">
        <v>30</v>
      </c>
      <c r="B79" s="7" t="s">
        <v>9</v>
      </c>
      <c r="C79" s="14">
        <v>25</v>
      </c>
      <c r="D79" s="9" t="s">
        <v>5</v>
      </c>
      <c r="E79" s="10">
        <f>16*57</f>
        <v>912</v>
      </c>
      <c r="F79" s="15" t="s">
        <v>6</v>
      </c>
      <c r="G79" s="16"/>
      <c r="H79" s="17">
        <f>C79*3.141*0.001*E79</f>
        <v>71.6148</v>
      </c>
      <c r="I79" s="14" t="s">
        <v>7</v>
      </c>
    </row>
    <row r="80" s="1" customFormat="1" ht="16.5" spans="1:9">
      <c r="A80" s="19" t="s">
        <v>40</v>
      </c>
      <c r="B80" s="20">
        <v>200</v>
      </c>
      <c r="C80" s="21">
        <v>100</v>
      </c>
      <c r="D80" s="9" t="s">
        <v>5</v>
      </c>
      <c r="E80" s="22">
        <v>2</v>
      </c>
      <c r="F80" s="23" t="s">
        <v>6</v>
      </c>
      <c r="G80" s="24">
        <v>1</v>
      </c>
      <c r="H80" s="25">
        <f t="shared" ref="H80:H83" si="9">(B80*2+C80*4)/1000*E80*G80</f>
        <v>1.6</v>
      </c>
      <c r="I80" s="34" t="s">
        <v>20</v>
      </c>
    </row>
    <row r="81" s="1" customFormat="1" ht="13" customHeight="1" spans="1:9">
      <c r="A81" s="26" t="s">
        <v>26</v>
      </c>
      <c r="B81" s="30" t="s">
        <v>17</v>
      </c>
      <c r="C81" s="21">
        <v>63</v>
      </c>
      <c r="D81" s="31" t="s">
        <v>5</v>
      </c>
      <c r="E81" s="22">
        <v>25</v>
      </c>
      <c r="F81" s="32" t="s">
        <v>6</v>
      </c>
      <c r="G81" s="33">
        <v>1</v>
      </c>
      <c r="H81" s="29">
        <f>C81*4/1000*E81*G81</f>
        <v>6.3</v>
      </c>
      <c r="I81" s="35" t="s">
        <v>20</v>
      </c>
    </row>
    <row r="82" s="1" customFormat="1" ht="16.5" spans="1:9">
      <c r="A82" s="19" t="s">
        <v>40</v>
      </c>
      <c r="B82" s="20">
        <v>200</v>
      </c>
      <c r="C82" s="21">
        <v>200</v>
      </c>
      <c r="D82" s="9" t="s">
        <v>5</v>
      </c>
      <c r="E82" s="22">
        <v>45</v>
      </c>
      <c r="F82" s="23" t="s">
        <v>6</v>
      </c>
      <c r="G82" s="24">
        <v>1</v>
      </c>
      <c r="H82" s="25">
        <f t="shared" si="9"/>
        <v>54</v>
      </c>
      <c r="I82" s="34" t="s">
        <v>20</v>
      </c>
    </row>
    <row r="83" s="1" customFormat="1" ht="16.5" spans="1:9">
      <c r="A83" s="19" t="s">
        <v>40</v>
      </c>
      <c r="B83" s="20">
        <v>100</v>
      </c>
      <c r="C83" s="21">
        <v>100</v>
      </c>
      <c r="D83" s="9" t="s">
        <v>5</v>
      </c>
      <c r="E83" s="22">
        <v>43</v>
      </c>
      <c r="F83" s="23" t="s">
        <v>6</v>
      </c>
      <c r="G83" s="24">
        <v>1</v>
      </c>
      <c r="H83" s="25">
        <f t="shared" si="9"/>
        <v>25.8</v>
      </c>
      <c r="I83" s="34" t="s">
        <v>20</v>
      </c>
    </row>
    <row r="84" s="2" customFormat="1" spans="1:1">
      <c r="A84" s="2" t="s">
        <v>41</v>
      </c>
    </row>
    <row r="85" s="1" customFormat="1" ht="16.5" spans="1:9">
      <c r="A85" s="19" t="s">
        <v>40</v>
      </c>
      <c r="B85" s="20">
        <v>300</v>
      </c>
      <c r="C85" s="21">
        <v>300</v>
      </c>
      <c r="D85" s="9" t="s">
        <v>5</v>
      </c>
      <c r="E85" s="22">
        <v>40</v>
      </c>
      <c r="F85" s="23" t="s">
        <v>6</v>
      </c>
      <c r="G85" s="24">
        <v>1</v>
      </c>
      <c r="H85" s="25">
        <f>(B85*2+C85*4)/1000*E85*G85</f>
        <v>72</v>
      </c>
      <c r="I85" s="34" t="s">
        <v>20</v>
      </c>
    </row>
    <row r="86" s="1" customFormat="1" ht="16.5" spans="1:9">
      <c r="A86" s="19" t="s">
        <v>40</v>
      </c>
      <c r="B86" s="20">
        <v>200</v>
      </c>
      <c r="C86" s="21">
        <v>100</v>
      </c>
      <c r="D86" s="9" t="s">
        <v>5</v>
      </c>
      <c r="E86" s="22">
        <v>16</v>
      </c>
      <c r="F86" s="23" t="s">
        <v>6</v>
      </c>
      <c r="G86" s="24">
        <v>1</v>
      </c>
      <c r="H86" s="25">
        <f>(B86*2+C86*4)/1000*E86*G86</f>
        <v>12.8</v>
      </c>
      <c r="I86" s="34" t="s">
        <v>20</v>
      </c>
    </row>
    <row r="87" s="1" customFormat="1" ht="13" customHeight="1" spans="1:9">
      <c r="A87" s="26" t="s">
        <v>27</v>
      </c>
      <c r="B87" s="27" t="s">
        <v>24</v>
      </c>
      <c r="C87" s="21">
        <v>10</v>
      </c>
      <c r="D87" s="9" t="s">
        <v>5</v>
      </c>
      <c r="E87" s="22">
        <f>11*4</f>
        <v>44</v>
      </c>
      <c r="F87" s="23" t="s">
        <v>6</v>
      </c>
      <c r="G87" s="28">
        <f>IF(C87=10,0.392,IF(C87=12,0.452,IF(C87=14,0.52,IF(C87=16,0.58,IF(C87=20,0.7,IF(C87=22,0.756,IF(C87=8,0.332,IF(C87=18,0.632,查表))))))))</f>
        <v>0.392</v>
      </c>
      <c r="H87" s="29">
        <f>G87*E87</f>
        <v>17.248</v>
      </c>
      <c r="I87" s="22" t="s">
        <v>25</v>
      </c>
    </row>
    <row r="88" s="1" customFormat="1" ht="15" customHeight="1" spans="1:9">
      <c r="A88" s="7" t="s">
        <v>8</v>
      </c>
      <c r="B88" s="7" t="s">
        <v>9</v>
      </c>
      <c r="C88" s="14">
        <v>32</v>
      </c>
      <c r="D88" s="9" t="s">
        <v>5</v>
      </c>
      <c r="E88" s="10">
        <f>21*4</f>
        <v>84</v>
      </c>
      <c r="F88" s="15" t="s">
        <v>6</v>
      </c>
      <c r="G88" s="16"/>
      <c r="H88" s="17">
        <f t="shared" ref="H88:H92" si="10">C88*3.141*0.001*E88</f>
        <v>8.443008</v>
      </c>
      <c r="I88" s="14" t="s">
        <v>7</v>
      </c>
    </row>
    <row r="89" s="1" customFormat="1" ht="16.5" spans="1:9">
      <c r="A89" s="7" t="s">
        <v>10</v>
      </c>
      <c r="B89" s="6" t="s">
        <v>11</v>
      </c>
      <c r="C89" s="14">
        <v>0.04</v>
      </c>
      <c r="D89" s="9" t="s">
        <v>5</v>
      </c>
      <c r="E89" s="10">
        <v>33</v>
      </c>
      <c r="F89" s="11" t="s">
        <v>6</v>
      </c>
      <c r="G89" s="18">
        <v>8</v>
      </c>
      <c r="H89" s="17">
        <f>C89*E89*G89</f>
        <v>10.56</v>
      </c>
      <c r="I89" s="14" t="s">
        <v>7</v>
      </c>
    </row>
    <row r="90" s="1" customFormat="1" ht="15" customHeight="1" spans="1:9">
      <c r="A90" s="7" t="s">
        <v>42</v>
      </c>
      <c r="B90" s="7" t="s">
        <v>9</v>
      </c>
      <c r="C90" s="14">
        <v>89</v>
      </c>
      <c r="D90" s="9" t="s">
        <v>5</v>
      </c>
      <c r="E90" s="10">
        <v>58</v>
      </c>
      <c r="F90" s="15" t="s">
        <v>6</v>
      </c>
      <c r="G90" s="16"/>
      <c r="H90" s="17">
        <f t="shared" si="10"/>
        <v>16.213842</v>
      </c>
      <c r="I90" s="14" t="s">
        <v>7</v>
      </c>
    </row>
    <row r="91" s="1" customFormat="1" ht="15" customHeight="1" spans="1:9">
      <c r="A91" s="7" t="s">
        <v>42</v>
      </c>
      <c r="B91" s="7" t="s">
        <v>9</v>
      </c>
      <c r="C91" s="14">
        <v>57</v>
      </c>
      <c r="D91" s="9" t="s">
        <v>5</v>
      </c>
      <c r="E91" s="10">
        <v>15</v>
      </c>
      <c r="F91" s="15" t="s">
        <v>6</v>
      </c>
      <c r="G91" s="16"/>
      <c r="H91" s="17">
        <f t="shared" si="10"/>
        <v>2.685555</v>
      </c>
      <c r="I91" s="14" t="s">
        <v>7</v>
      </c>
    </row>
    <row r="92" s="1" customFormat="1" ht="15" customHeight="1" spans="1:9">
      <c r="A92" s="7" t="s">
        <v>42</v>
      </c>
      <c r="B92" s="7" t="s">
        <v>9</v>
      </c>
      <c r="C92" s="14">
        <v>163</v>
      </c>
      <c r="D92" s="9" t="s">
        <v>5</v>
      </c>
      <c r="E92" s="10">
        <v>74</v>
      </c>
      <c r="F92" s="15" t="s">
        <v>6</v>
      </c>
      <c r="G92" s="16"/>
      <c r="H92" s="17">
        <f t="shared" si="10"/>
        <v>37.886742</v>
      </c>
      <c r="I92" s="14" t="s">
        <v>7</v>
      </c>
    </row>
    <row r="93" s="1" customFormat="1" ht="15" customHeight="1" spans="1:9">
      <c r="A93" s="7" t="s">
        <v>43</v>
      </c>
      <c r="B93" s="7" t="s">
        <v>9</v>
      </c>
      <c r="C93" s="14">
        <v>89</v>
      </c>
      <c r="D93" s="9" t="s">
        <v>5</v>
      </c>
      <c r="E93" s="10">
        <v>35</v>
      </c>
      <c r="F93" s="15" t="s">
        <v>6</v>
      </c>
      <c r="G93" s="16"/>
      <c r="H93" s="17">
        <f t="shared" ref="H93:H98" si="11">C93*3.141*0.001*E93</f>
        <v>9.784215</v>
      </c>
      <c r="I93" s="14" t="s">
        <v>7</v>
      </c>
    </row>
    <row r="94" s="1" customFormat="1" ht="15" customHeight="1" spans="1:9">
      <c r="A94" s="7" t="s">
        <v>44</v>
      </c>
      <c r="B94" s="7" t="s">
        <v>9</v>
      </c>
      <c r="C94" s="14">
        <v>89</v>
      </c>
      <c r="D94" s="9" t="s">
        <v>5</v>
      </c>
      <c r="E94" s="10">
        <v>20</v>
      </c>
      <c r="F94" s="15" t="s">
        <v>6</v>
      </c>
      <c r="G94" s="16"/>
      <c r="H94" s="17">
        <f t="shared" si="11"/>
        <v>5.59098</v>
      </c>
      <c r="I94" s="14" t="s">
        <v>7</v>
      </c>
    </row>
    <row r="95" s="2" customFormat="1"/>
    <row r="96" s="1" customFormat="1" spans="1:7">
      <c r="A96" s="1" t="s">
        <v>45</v>
      </c>
      <c r="G96" s="36"/>
    </row>
    <row r="97" s="1" customFormat="1" ht="16.5" spans="1:9">
      <c r="A97" s="6" t="s">
        <v>15</v>
      </c>
      <c r="B97" s="7" t="s">
        <v>4</v>
      </c>
      <c r="C97" s="8">
        <v>14</v>
      </c>
      <c r="D97" s="9" t="s">
        <v>5</v>
      </c>
      <c r="E97" s="10">
        <f>4.6*2*23</f>
        <v>211.6</v>
      </c>
      <c r="F97" s="11" t="s">
        <v>6</v>
      </c>
      <c r="G97" s="12">
        <f>IF(C97=10,0.392,IF(C97=12,0.452,IF(C97=14,0.52,IF(C97=16,0.58,IF(C97=20,0.7,IF(C97=22,0.756,IF(C97=8,0.332,IF(C97=18,0.632,查表))))))))</f>
        <v>0.52</v>
      </c>
      <c r="H97" s="13">
        <f>G97*E97</f>
        <v>110.032</v>
      </c>
      <c r="I97" s="14" t="s">
        <v>7</v>
      </c>
    </row>
    <row r="98" s="1" customFormat="1" ht="16.5" spans="1:9">
      <c r="A98" s="7" t="s">
        <v>8</v>
      </c>
      <c r="B98" s="7" t="s">
        <v>9</v>
      </c>
      <c r="C98" s="14">
        <v>32</v>
      </c>
      <c r="D98" s="9" t="s">
        <v>5</v>
      </c>
      <c r="E98" s="10">
        <f>8.6*2*23</f>
        <v>395.6</v>
      </c>
      <c r="F98" s="15" t="s">
        <v>6</v>
      </c>
      <c r="G98" s="16"/>
      <c r="H98" s="17">
        <f t="shared" si="11"/>
        <v>39.7625472</v>
      </c>
      <c r="I98" s="14" t="s">
        <v>7</v>
      </c>
    </row>
    <row r="99" s="1" customFormat="1" ht="16.5" spans="1:9">
      <c r="A99" s="7" t="s">
        <v>10</v>
      </c>
      <c r="B99" s="6" t="s">
        <v>11</v>
      </c>
      <c r="C99" s="14">
        <v>0.04</v>
      </c>
      <c r="D99" s="9" t="s">
        <v>5</v>
      </c>
      <c r="E99" s="10">
        <v>4.6</v>
      </c>
      <c r="F99" s="11" t="s">
        <v>6</v>
      </c>
      <c r="G99" s="18">
        <f>2*6*23</f>
        <v>276</v>
      </c>
      <c r="H99" s="17">
        <f>C99*E99*G99</f>
        <v>50.784</v>
      </c>
      <c r="I99" s="14" t="s">
        <v>7</v>
      </c>
    </row>
    <row r="100" s="1" customFormat="1" ht="16.5" spans="1:9">
      <c r="A100" s="6" t="s">
        <v>26</v>
      </c>
      <c r="B100" s="7" t="s">
        <v>17</v>
      </c>
      <c r="C100" s="8">
        <v>30</v>
      </c>
      <c r="D100" s="9" t="s">
        <v>5</v>
      </c>
      <c r="E100" s="10">
        <f>8*23</f>
        <v>184</v>
      </c>
      <c r="F100" s="15" t="s">
        <v>6</v>
      </c>
      <c r="G100" s="16"/>
      <c r="H100" s="13">
        <f>C100/1000*4*E100</f>
        <v>22.08</v>
      </c>
      <c r="I100" s="14" t="s">
        <v>7</v>
      </c>
    </row>
    <row r="101" s="1" customFormat="1" ht="16.5" spans="1:9">
      <c r="A101" s="6" t="s">
        <v>46</v>
      </c>
      <c r="B101" s="7" t="s">
        <v>4</v>
      </c>
      <c r="C101" s="8">
        <v>10</v>
      </c>
      <c r="D101" s="9" t="s">
        <v>5</v>
      </c>
      <c r="E101" s="10">
        <f>1.2*20*3</f>
        <v>72</v>
      </c>
      <c r="F101" s="11" t="s">
        <v>6</v>
      </c>
      <c r="G101" s="12">
        <f>IF(C101=10,0.392,IF(C101=12,0.452,IF(C101=14,0.52,IF(C101=16,0.58,IF(C101=20,0.7,IF(C101=22,0.756,IF(C101=8,0.332,IF(C101=18,0.632,查表))))))))</f>
        <v>0.392</v>
      </c>
      <c r="H101" s="13">
        <f>G101*E101</f>
        <v>28.224</v>
      </c>
      <c r="I101" s="14" t="s">
        <v>7</v>
      </c>
    </row>
    <row r="102" s="1" customFormat="1" ht="16.5" spans="1:9">
      <c r="A102" s="6" t="s">
        <v>46</v>
      </c>
      <c r="B102" s="7" t="s">
        <v>9</v>
      </c>
      <c r="C102" s="14">
        <v>57</v>
      </c>
      <c r="D102" s="9" t="s">
        <v>5</v>
      </c>
      <c r="E102" s="10">
        <f>0.8*50*3</f>
        <v>120</v>
      </c>
      <c r="F102" s="15" t="s">
        <v>6</v>
      </c>
      <c r="G102" s="16"/>
      <c r="H102" s="17">
        <f t="shared" ref="H102:H105" si="12">C102*3.141*0.001*E102</f>
        <v>21.48444</v>
      </c>
      <c r="I102" s="14" t="s">
        <v>7</v>
      </c>
    </row>
    <row r="103" s="1" customFormat="1" ht="16.5" spans="1:9">
      <c r="A103" s="6" t="s">
        <v>47</v>
      </c>
      <c r="B103" s="7" t="s">
        <v>9</v>
      </c>
      <c r="C103" s="14">
        <v>89</v>
      </c>
      <c r="D103" s="9" t="s">
        <v>5</v>
      </c>
      <c r="E103" s="10">
        <f>19*3</f>
        <v>57</v>
      </c>
      <c r="F103" s="15" t="s">
        <v>6</v>
      </c>
      <c r="G103" s="16"/>
      <c r="H103" s="17">
        <f t="shared" si="12"/>
        <v>15.934293</v>
      </c>
      <c r="I103" s="14" t="s">
        <v>7</v>
      </c>
    </row>
    <row r="104" s="1" customFormat="1" ht="16.5" spans="1:9">
      <c r="A104" s="6" t="s">
        <v>48</v>
      </c>
      <c r="B104" s="7" t="s">
        <v>9</v>
      </c>
      <c r="C104" s="14">
        <v>108</v>
      </c>
      <c r="D104" s="9" t="s">
        <v>5</v>
      </c>
      <c r="E104" s="10">
        <f>51*3</f>
        <v>153</v>
      </c>
      <c r="F104" s="15" t="s">
        <v>6</v>
      </c>
      <c r="G104" s="16"/>
      <c r="H104" s="17">
        <f t="shared" si="12"/>
        <v>51.901884</v>
      </c>
      <c r="I104" s="14" t="s">
        <v>7</v>
      </c>
    </row>
    <row r="105" s="1" customFormat="1" ht="16.5" spans="1:9">
      <c r="A105" s="6" t="s">
        <v>49</v>
      </c>
      <c r="B105" s="7" t="s">
        <v>9</v>
      </c>
      <c r="C105" s="14">
        <v>50</v>
      </c>
      <c r="D105" s="9" t="s">
        <v>5</v>
      </c>
      <c r="E105" s="10">
        <f>15*3</f>
        <v>45</v>
      </c>
      <c r="F105" s="15" t="s">
        <v>6</v>
      </c>
      <c r="G105" s="16"/>
      <c r="H105" s="17">
        <f t="shared" si="12"/>
        <v>7.06725</v>
      </c>
      <c r="I105" s="14" t="s">
        <v>7</v>
      </c>
    </row>
    <row r="106" s="1" customFormat="1" ht="16.5" spans="1:9">
      <c r="A106" s="7" t="s">
        <v>50</v>
      </c>
      <c r="B106" s="6" t="s">
        <v>11</v>
      </c>
      <c r="C106" s="14">
        <v>0.15</v>
      </c>
      <c r="D106" s="9" t="s">
        <v>5</v>
      </c>
      <c r="E106" s="10">
        <v>23</v>
      </c>
      <c r="F106" s="11" t="s">
        <v>6</v>
      </c>
      <c r="G106" s="18">
        <f t="shared" ref="G106:G111" si="13">2*2*3</f>
        <v>12</v>
      </c>
      <c r="H106" s="17">
        <f t="shared" ref="H106:H111" si="14">C106*E106*G106</f>
        <v>41.4</v>
      </c>
      <c r="I106" s="14" t="s">
        <v>7</v>
      </c>
    </row>
    <row r="107" s="1" customFormat="1" ht="16.5" spans="1:9">
      <c r="A107" s="6" t="s">
        <v>16</v>
      </c>
      <c r="B107" s="7" t="s">
        <v>17</v>
      </c>
      <c r="C107" s="8">
        <v>63</v>
      </c>
      <c r="D107" s="9" t="s">
        <v>5</v>
      </c>
      <c r="E107" s="10">
        <f>1.45*15*3</f>
        <v>65.25</v>
      </c>
      <c r="F107" s="15" t="s">
        <v>6</v>
      </c>
      <c r="G107" s="16"/>
      <c r="H107" s="13">
        <f>C107/1000*4*E107</f>
        <v>16.443</v>
      </c>
      <c r="I107" s="14" t="s">
        <v>7</v>
      </c>
    </row>
    <row r="108" s="1" customFormat="1" ht="16.5" spans="1:9">
      <c r="A108" s="6" t="s">
        <v>16</v>
      </c>
      <c r="B108" s="7" t="s">
        <v>17</v>
      </c>
      <c r="C108" s="8">
        <v>63</v>
      </c>
      <c r="D108" s="9" t="s">
        <v>5</v>
      </c>
      <c r="E108" s="10">
        <f>1.2*13*3</f>
        <v>46.8</v>
      </c>
      <c r="F108" s="15" t="s">
        <v>6</v>
      </c>
      <c r="G108" s="16"/>
      <c r="H108" s="13">
        <f>C108/1000*4*E108</f>
        <v>11.7936</v>
      </c>
      <c r="I108" s="14" t="s">
        <v>7</v>
      </c>
    </row>
    <row r="109" s="1" customFormat="1" ht="16.5" spans="1:9">
      <c r="A109" s="7" t="s">
        <v>8</v>
      </c>
      <c r="B109" s="7" t="s">
        <v>9</v>
      </c>
      <c r="C109" s="14">
        <v>40</v>
      </c>
      <c r="D109" s="9" t="s">
        <v>5</v>
      </c>
      <c r="E109" s="10">
        <f>23*3</f>
        <v>69</v>
      </c>
      <c r="F109" s="15" t="s">
        <v>6</v>
      </c>
      <c r="G109" s="16"/>
      <c r="H109" s="17">
        <f>C109*3.141*0.001*E109</f>
        <v>8.66916</v>
      </c>
      <c r="I109" s="14" t="s">
        <v>7</v>
      </c>
    </row>
    <row r="110" s="1" customFormat="1" ht="16.5" spans="1:9">
      <c r="A110" s="7" t="s">
        <v>10</v>
      </c>
      <c r="B110" s="6" t="s">
        <v>11</v>
      </c>
      <c r="C110" s="14">
        <v>0.03</v>
      </c>
      <c r="D110" s="9" t="s">
        <v>5</v>
      </c>
      <c r="E110" s="10">
        <v>23</v>
      </c>
      <c r="F110" s="11" t="s">
        <v>6</v>
      </c>
      <c r="G110" s="18">
        <f t="shared" si="13"/>
        <v>12</v>
      </c>
      <c r="H110" s="17">
        <f t="shared" si="14"/>
        <v>8.28</v>
      </c>
      <c r="I110" s="14" t="s">
        <v>7</v>
      </c>
    </row>
    <row r="111" s="1" customFormat="1" ht="16.5" spans="1:9">
      <c r="A111" s="7" t="s">
        <v>12</v>
      </c>
      <c r="B111" s="6" t="s">
        <v>11</v>
      </c>
      <c r="C111" s="14">
        <v>0.06</v>
      </c>
      <c r="D111" s="9" t="s">
        <v>5</v>
      </c>
      <c r="E111" s="10">
        <v>12</v>
      </c>
      <c r="F111" s="11" t="s">
        <v>6</v>
      </c>
      <c r="G111" s="18">
        <f t="shared" si="13"/>
        <v>12</v>
      </c>
      <c r="H111" s="17">
        <f t="shared" si="14"/>
        <v>8.64</v>
      </c>
      <c r="I111" s="14" t="s">
        <v>7</v>
      </c>
    </row>
    <row r="112" s="1" customFormat="1" ht="16.5" spans="1:9">
      <c r="A112" s="7" t="s">
        <v>13</v>
      </c>
      <c r="B112" s="7" t="s">
        <v>9</v>
      </c>
      <c r="C112" s="14">
        <v>15</v>
      </c>
      <c r="D112" s="9" t="s">
        <v>5</v>
      </c>
      <c r="E112" s="10">
        <f>0.55*41*3</f>
        <v>67.65</v>
      </c>
      <c r="F112" s="15" t="s">
        <v>6</v>
      </c>
      <c r="G112" s="16"/>
      <c r="H112" s="17">
        <f>C112*3.141*0.001*E112</f>
        <v>3.18732975</v>
      </c>
      <c r="I112" s="14" t="s">
        <v>7</v>
      </c>
    </row>
    <row r="113" s="1" customFormat="1" ht="16.5" spans="1:9">
      <c r="A113" s="7" t="s">
        <v>10</v>
      </c>
      <c r="B113" s="6" t="s">
        <v>11</v>
      </c>
      <c r="C113" s="14">
        <v>0.04</v>
      </c>
      <c r="D113" s="9" t="s">
        <v>5</v>
      </c>
      <c r="E113" s="10">
        <v>12</v>
      </c>
      <c r="F113" s="11" t="s">
        <v>6</v>
      </c>
      <c r="G113" s="18">
        <f>2*6*3</f>
        <v>36</v>
      </c>
      <c r="H113" s="17">
        <f t="shared" ref="H113:H115" si="15">C113*E113*G113</f>
        <v>17.28</v>
      </c>
      <c r="I113" s="14" t="s">
        <v>7</v>
      </c>
    </row>
    <row r="114" s="1" customFormat="1" ht="16.5" spans="1:9">
      <c r="A114" s="7" t="s">
        <v>10</v>
      </c>
      <c r="B114" s="6" t="s">
        <v>11</v>
      </c>
      <c r="C114" s="14">
        <v>0.04</v>
      </c>
      <c r="D114" s="9" t="s">
        <v>5</v>
      </c>
      <c r="E114" s="10">
        <v>2</v>
      </c>
      <c r="F114" s="11" t="s">
        <v>6</v>
      </c>
      <c r="G114" s="18">
        <f>2*20*3</f>
        <v>120</v>
      </c>
      <c r="H114" s="17">
        <f t="shared" si="15"/>
        <v>9.6</v>
      </c>
      <c r="I114" s="14" t="s">
        <v>7</v>
      </c>
    </row>
    <row r="115" s="1" customFormat="1" ht="16.5" spans="1:9">
      <c r="A115" s="7" t="s">
        <v>51</v>
      </c>
      <c r="B115" s="6" t="s">
        <v>11</v>
      </c>
      <c r="C115" s="14">
        <v>1</v>
      </c>
      <c r="D115" s="9" t="s">
        <v>5</v>
      </c>
      <c r="E115" s="10">
        <v>1</v>
      </c>
      <c r="F115" s="11" t="s">
        <v>6</v>
      </c>
      <c r="G115" s="18">
        <v>2</v>
      </c>
      <c r="H115" s="17">
        <f t="shared" si="15"/>
        <v>2</v>
      </c>
      <c r="I115" s="14" t="s">
        <v>7</v>
      </c>
    </row>
    <row r="116" s="1" customFormat="1" ht="16.5" spans="1:9">
      <c r="A116" s="6" t="s">
        <v>16</v>
      </c>
      <c r="B116" s="7" t="s">
        <v>17</v>
      </c>
      <c r="C116" s="8">
        <v>50</v>
      </c>
      <c r="D116" s="9" t="s">
        <v>5</v>
      </c>
      <c r="E116" s="10">
        <v>21</v>
      </c>
      <c r="F116" s="15" t="s">
        <v>6</v>
      </c>
      <c r="G116" s="16"/>
      <c r="H116" s="13">
        <f>C116/1000*4*E116</f>
        <v>4.2</v>
      </c>
      <c r="I116" s="14" t="s">
        <v>7</v>
      </c>
    </row>
    <row r="117" s="1" customFormat="1" ht="16.5" spans="1:9">
      <c r="A117" s="7" t="s">
        <v>52</v>
      </c>
      <c r="B117" s="7" t="s">
        <v>9</v>
      </c>
      <c r="C117" s="14">
        <v>40</v>
      </c>
      <c r="D117" s="9" t="s">
        <v>5</v>
      </c>
      <c r="E117" s="10">
        <f>32*3</f>
        <v>96</v>
      </c>
      <c r="F117" s="15" t="s">
        <v>6</v>
      </c>
      <c r="G117" s="16"/>
      <c r="H117" s="17">
        <f>C117*3.141*0.001*E117</f>
        <v>12.06144</v>
      </c>
      <c r="I117" s="14" t="s">
        <v>7</v>
      </c>
    </row>
    <row r="118" s="1" customFormat="1" ht="16.5" spans="1:9">
      <c r="A118" s="7" t="s">
        <v>10</v>
      </c>
      <c r="B118" s="6" t="s">
        <v>11</v>
      </c>
      <c r="C118" s="14">
        <v>0.1</v>
      </c>
      <c r="D118" s="9" t="s">
        <v>5</v>
      </c>
      <c r="E118" s="10">
        <v>32</v>
      </c>
      <c r="F118" s="11" t="s">
        <v>6</v>
      </c>
      <c r="G118" s="18">
        <v>6</v>
      </c>
      <c r="H118" s="17">
        <f t="shared" ref="H118:H122" si="16">C118*E118*G118</f>
        <v>19.2</v>
      </c>
      <c r="I118" s="14" t="s">
        <v>7</v>
      </c>
    </row>
    <row r="119" s="1" customFormat="1" ht="16.5" spans="1:9">
      <c r="A119" s="7" t="s">
        <v>10</v>
      </c>
      <c r="B119" s="6" t="s">
        <v>11</v>
      </c>
      <c r="C119" s="14">
        <v>0.04</v>
      </c>
      <c r="D119" s="9" t="s">
        <v>5</v>
      </c>
      <c r="E119" s="10">
        <v>64</v>
      </c>
      <c r="F119" s="11" t="s">
        <v>6</v>
      </c>
      <c r="G119" s="18">
        <v>6</v>
      </c>
      <c r="H119" s="17">
        <f t="shared" si="16"/>
        <v>15.36</v>
      </c>
      <c r="I119" s="14" t="s">
        <v>7</v>
      </c>
    </row>
    <row r="120" s="1" customFormat="1" ht="16.5" spans="1:9">
      <c r="A120" s="6" t="s">
        <v>16</v>
      </c>
      <c r="B120" s="7" t="s">
        <v>17</v>
      </c>
      <c r="C120" s="8">
        <v>50</v>
      </c>
      <c r="D120" s="9" t="s">
        <v>5</v>
      </c>
      <c r="E120" s="10">
        <f>1.2*32*3</f>
        <v>115.2</v>
      </c>
      <c r="F120" s="15" t="s">
        <v>6</v>
      </c>
      <c r="G120" s="16"/>
      <c r="H120" s="13">
        <f>C120/1000*4*E120</f>
        <v>23.04</v>
      </c>
      <c r="I120" s="14" t="s">
        <v>7</v>
      </c>
    </row>
    <row r="121" s="1" customFormat="1" ht="16.5" spans="1:9">
      <c r="A121" s="6" t="s">
        <v>53</v>
      </c>
      <c r="B121" s="7" t="s">
        <v>4</v>
      </c>
      <c r="C121" s="8">
        <v>16</v>
      </c>
      <c r="D121" s="9" t="s">
        <v>5</v>
      </c>
      <c r="E121" s="10">
        <v>16</v>
      </c>
      <c r="F121" s="11" t="s">
        <v>6</v>
      </c>
      <c r="G121" s="12">
        <f>IF(C121=10,0.392,IF(C121=12,0.452,IF(C121=14,0.52,IF(C121=16,0.58,IF(C121=20,0.7,IF(C121=22,0.756,IF(C121=8,0.332,IF(C121=18,0.632,查表))))))))</f>
        <v>0.58</v>
      </c>
      <c r="H121" s="13">
        <f>G121*E121</f>
        <v>9.28</v>
      </c>
      <c r="I121" s="14" t="s">
        <v>7</v>
      </c>
    </row>
    <row r="122" s="1" customFormat="1" ht="16.5" spans="1:9">
      <c r="A122" s="7" t="s">
        <v>54</v>
      </c>
      <c r="B122" s="6" t="s">
        <v>11</v>
      </c>
      <c r="C122" s="14">
        <v>14</v>
      </c>
      <c r="D122" s="9" t="s">
        <v>5</v>
      </c>
      <c r="E122" s="10">
        <v>1</v>
      </c>
      <c r="F122" s="11" t="s">
        <v>6</v>
      </c>
      <c r="G122" s="18">
        <v>4</v>
      </c>
      <c r="H122" s="17">
        <f t="shared" si="16"/>
        <v>56</v>
      </c>
      <c r="I122" s="14" t="s">
        <v>7</v>
      </c>
    </row>
    <row r="123" s="1" customFormat="1" ht="16.5" spans="1:9">
      <c r="A123" s="6" t="s">
        <v>16</v>
      </c>
      <c r="B123" s="7" t="s">
        <v>17</v>
      </c>
      <c r="C123" s="8">
        <v>50</v>
      </c>
      <c r="D123" s="9" t="s">
        <v>5</v>
      </c>
      <c r="E123" s="10">
        <v>8</v>
      </c>
      <c r="F123" s="15" t="s">
        <v>6</v>
      </c>
      <c r="G123" s="16"/>
      <c r="H123" s="13">
        <f>C123/1000*4*E123</f>
        <v>1.6</v>
      </c>
      <c r="I123" s="14" t="s">
        <v>7</v>
      </c>
    </row>
    <row r="124" s="1" customFormat="1" ht="16.5" spans="1:9">
      <c r="A124" s="7" t="s">
        <v>8</v>
      </c>
      <c r="B124" s="7" t="s">
        <v>9</v>
      </c>
      <c r="C124" s="14">
        <v>40</v>
      </c>
      <c r="D124" s="9" t="s">
        <v>5</v>
      </c>
      <c r="E124" s="10">
        <v>16</v>
      </c>
      <c r="F124" s="15" t="s">
        <v>6</v>
      </c>
      <c r="G124" s="16"/>
      <c r="H124" s="17">
        <f t="shared" ref="H124:H129" si="17">C124*3.141*0.001*E124</f>
        <v>2.01024</v>
      </c>
      <c r="I124" s="14" t="s">
        <v>7</v>
      </c>
    </row>
    <row r="125" s="1" customFormat="1" ht="16.5" spans="1:9">
      <c r="A125" s="7" t="s">
        <v>10</v>
      </c>
      <c r="B125" s="6" t="s">
        <v>11</v>
      </c>
      <c r="C125" s="14">
        <v>0.04</v>
      </c>
      <c r="D125" s="9" t="s">
        <v>5</v>
      </c>
      <c r="E125" s="10">
        <v>32</v>
      </c>
      <c r="F125" s="11" t="s">
        <v>6</v>
      </c>
      <c r="G125" s="18">
        <v>2</v>
      </c>
      <c r="H125" s="17">
        <f>C125*E125*G125</f>
        <v>2.56</v>
      </c>
      <c r="I125" s="14" t="s">
        <v>7</v>
      </c>
    </row>
    <row r="126" s="1" customFormat="1" ht="16.5" spans="1:9">
      <c r="A126" s="7" t="s">
        <v>10</v>
      </c>
      <c r="B126" s="6" t="s">
        <v>11</v>
      </c>
      <c r="C126" s="14">
        <v>0.1</v>
      </c>
      <c r="D126" s="9" t="s">
        <v>5</v>
      </c>
      <c r="E126" s="10">
        <v>16</v>
      </c>
      <c r="F126" s="11" t="s">
        <v>6</v>
      </c>
      <c r="G126" s="18">
        <v>2</v>
      </c>
      <c r="H126" s="17">
        <f>C126*E126*G126</f>
        <v>3.2</v>
      </c>
      <c r="I126" s="14" t="s">
        <v>7</v>
      </c>
    </row>
    <row r="127" s="1" customFormat="1" ht="16.5" spans="1:9">
      <c r="A127" s="6" t="s">
        <v>47</v>
      </c>
      <c r="B127" s="7" t="s">
        <v>9</v>
      </c>
      <c r="C127" s="14">
        <v>89</v>
      </c>
      <c r="D127" s="9" t="s">
        <v>5</v>
      </c>
      <c r="E127" s="10">
        <v>170</v>
      </c>
      <c r="F127" s="15" t="s">
        <v>6</v>
      </c>
      <c r="G127" s="16"/>
      <c r="H127" s="17">
        <f t="shared" si="17"/>
        <v>47.52333</v>
      </c>
      <c r="I127" s="14" t="s">
        <v>7</v>
      </c>
    </row>
    <row r="128" s="1" customFormat="1" ht="16.5" spans="1:9">
      <c r="A128" s="6" t="s">
        <v>48</v>
      </c>
      <c r="B128" s="7" t="s">
        <v>9</v>
      </c>
      <c r="C128" s="14">
        <v>108</v>
      </c>
      <c r="D128" s="9" t="s">
        <v>5</v>
      </c>
      <c r="E128" s="10">
        <v>170</v>
      </c>
      <c r="F128" s="15" t="s">
        <v>6</v>
      </c>
      <c r="G128" s="16"/>
      <c r="H128" s="17">
        <f t="shared" si="17"/>
        <v>57.66876</v>
      </c>
      <c r="I128" s="14" t="s">
        <v>7</v>
      </c>
    </row>
    <row r="129" s="1" customFormat="1" ht="16.5" spans="1:9">
      <c r="A129" s="6" t="s">
        <v>49</v>
      </c>
      <c r="B129" s="7" t="s">
        <v>9</v>
      </c>
      <c r="C129" s="14">
        <v>89</v>
      </c>
      <c r="D129" s="9" t="s">
        <v>5</v>
      </c>
      <c r="E129" s="10">
        <v>50</v>
      </c>
      <c r="F129" s="15" t="s">
        <v>6</v>
      </c>
      <c r="G129" s="16"/>
      <c r="H129" s="17">
        <f t="shared" si="17"/>
        <v>13.97745</v>
      </c>
      <c r="I129" s="14" t="s">
        <v>7</v>
      </c>
    </row>
    <row r="130" s="1" customFormat="1" ht="16.5" spans="1:9">
      <c r="A130" s="6" t="s">
        <v>16</v>
      </c>
      <c r="B130" s="7" t="s">
        <v>17</v>
      </c>
      <c r="C130" s="8">
        <v>60</v>
      </c>
      <c r="D130" s="9" t="s">
        <v>5</v>
      </c>
      <c r="E130" s="10">
        <f>0.6*65*3</f>
        <v>117</v>
      </c>
      <c r="F130" s="15" t="s">
        <v>6</v>
      </c>
      <c r="G130" s="16"/>
      <c r="H130" s="13">
        <f>C130/1000*4*E130</f>
        <v>28.08</v>
      </c>
      <c r="I130" s="14" t="s">
        <v>7</v>
      </c>
    </row>
    <row r="131" s="1" customFormat="1" ht="16.5" spans="1:9">
      <c r="A131" s="19" t="s">
        <v>55</v>
      </c>
      <c r="B131" s="20">
        <v>150</v>
      </c>
      <c r="C131" s="21">
        <v>150</v>
      </c>
      <c r="D131" s="9" t="s">
        <v>5</v>
      </c>
      <c r="E131" s="22">
        <v>11</v>
      </c>
      <c r="F131" s="23" t="s">
        <v>6</v>
      </c>
      <c r="G131" s="24">
        <v>8</v>
      </c>
      <c r="H131" s="25">
        <f t="shared" ref="H131:H133" si="18">(B131*2+C131*4)/1000*E131*G131</f>
        <v>79.2</v>
      </c>
      <c r="I131" s="34" t="s">
        <v>20</v>
      </c>
    </row>
    <row r="132" s="1" customFormat="1" ht="16.5" spans="1:9">
      <c r="A132" s="19" t="s">
        <v>55</v>
      </c>
      <c r="B132" s="20">
        <v>200</v>
      </c>
      <c r="C132" s="21">
        <v>150</v>
      </c>
      <c r="D132" s="9" t="s">
        <v>5</v>
      </c>
      <c r="E132" s="22">
        <v>2.7</v>
      </c>
      <c r="F132" s="23" t="s">
        <v>6</v>
      </c>
      <c r="G132" s="24">
        <v>24</v>
      </c>
      <c r="H132" s="25">
        <f t="shared" si="18"/>
        <v>64.8</v>
      </c>
      <c r="I132" s="34" t="s">
        <v>20</v>
      </c>
    </row>
    <row r="133" s="1" customFormat="1" ht="16.5" spans="1:9">
      <c r="A133" s="19" t="s">
        <v>55</v>
      </c>
      <c r="B133" s="20">
        <v>200</v>
      </c>
      <c r="C133" s="21">
        <v>100</v>
      </c>
      <c r="D133" s="9" t="s">
        <v>5</v>
      </c>
      <c r="E133" s="22">
        <v>1.7</v>
      </c>
      <c r="F133" s="23" t="s">
        <v>6</v>
      </c>
      <c r="G133" s="24">
        <v>16</v>
      </c>
      <c r="H133" s="25">
        <f t="shared" si="18"/>
        <v>21.76</v>
      </c>
      <c r="I133" s="34" t="s">
        <v>20</v>
      </c>
    </row>
    <row r="134" s="1" customFormat="1" ht="16.5" spans="1:9">
      <c r="A134" s="6" t="s">
        <v>26</v>
      </c>
      <c r="B134" s="7" t="s">
        <v>17</v>
      </c>
      <c r="C134" s="8">
        <v>70</v>
      </c>
      <c r="D134" s="9" t="s">
        <v>5</v>
      </c>
      <c r="E134" s="10">
        <f>4*4*12*2</f>
        <v>384</v>
      </c>
      <c r="F134" s="15" t="s">
        <v>6</v>
      </c>
      <c r="G134" s="16"/>
      <c r="H134" s="13">
        <f>C134/1000*4*E134</f>
        <v>107.52</v>
      </c>
      <c r="I134" s="14" t="s">
        <v>7</v>
      </c>
    </row>
    <row r="135" s="1" customFormat="1" ht="16.5" spans="1:9">
      <c r="A135" s="7" t="s">
        <v>56</v>
      </c>
      <c r="B135" s="6" t="s">
        <v>11</v>
      </c>
      <c r="C135" s="14">
        <v>0.4</v>
      </c>
      <c r="D135" s="9" t="s">
        <v>5</v>
      </c>
      <c r="E135" s="10">
        <v>31.4</v>
      </c>
      <c r="F135" s="11" t="s">
        <v>6</v>
      </c>
      <c r="G135" s="18">
        <v>3</v>
      </c>
      <c r="H135" s="17">
        <f>C135*E135*G135</f>
        <v>37.68</v>
      </c>
      <c r="I135" s="14" t="s">
        <v>7</v>
      </c>
    </row>
    <row r="137" s="2" customFormat="1" spans="1:1">
      <c r="A137" s="2" t="s">
        <v>57</v>
      </c>
    </row>
    <row r="138" s="1" customFormat="1" ht="13" customHeight="1" spans="1:9">
      <c r="A138" s="26" t="s">
        <v>26</v>
      </c>
      <c r="B138" s="30" t="s">
        <v>17</v>
      </c>
      <c r="C138" s="21">
        <v>70</v>
      </c>
      <c r="D138" s="31" t="s">
        <v>5</v>
      </c>
      <c r="E138" s="22">
        <v>1.1</v>
      </c>
      <c r="F138" s="32" t="s">
        <v>6</v>
      </c>
      <c r="G138" s="33">
        <v>28</v>
      </c>
      <c r="H138" s="29">
        <f>C138*4/1000*E138*G138</f>
        <v>8.624</v>
      </c>
      <c r="I138" s="34" t="s">
        <v>20</v>
      </c>
    </row>
    <row r="139" s="1" customFormat="1" ht="13" customHeight="1" spans="1:9">
      <c r="A139" s="26" t="s">
        <v>26</v>
      </c>
      <c r="B139" s="30" t="s">
        <v>17</v>
      </c>
      <c r="C139" s="21">
        <v>70</v>
      </c>
      <c r="D139" s="31" t="s">
        <v>5</v>
      </c>
      <c r="E139" s="22">
        <v>1.6</v>
      </c>
      <c r="F139" s="32" t="s">
        <v>6</v>
      </c>
      <c r="G139" s="33">
        <v>36</v>
      </c>
      <c r="H139" s="29">
        <f>C139*4/1000*E139*G139</f>
        <v>16.128</v>
      </c>
      <c r="I139" s="34" t="s">
        <v>20</v>
      </c>
    </row>
    <row r="140" s="1" customFormat="1" ht="13" customHeight="1" spans="1:9">
      <c r="A140" s="26" t="s">
        <v>27</v>
      </c>
      <c r="B140" s="27" t="s">
        <v>24</v>
      </c>
      <c r="C140" s="21">
        <v>14</v>
      </c>
      <c r="D140" s="9" t="s">
        <v>5</v>
      </c>
      <c r="E140" s="22">
        <v>1.1</v>
      </c>
      <c r="F140" s="23" t="s">
        <v>6</v>
      </c>
      <c r="G140" s="28">
        <f>IF(C140=10,0.392,IF(C140=12,0.452,IF(C140=14,0.52,IF(C140=16,0.58,IF(C140=20,0.7,IF(C140=22,0.756,IF(C140=8,0.332,IF(C140=18,0.632,查表))))))))</f>
        <v>0.52</v>
      </c>
      <c r="H140" s="29">
        <f>G140*E140</f>
        <v>0.572</v>
      </c>
      <c r="I140" s="37" t="s">
        <v>25</v>
      </c>
    </row>
    <row r="141" s="1" customFormat="1" ht="13" customHeight="1" spans="1:9">
      <c r="A141" s="7" t="s">
        <v>11</v>
      </c>
      <c r="B141" s="6" t="s">
        <v>11</v>
      </c>
      <c r="C141" s="14">
        <v>0.3</v>
      </c>
      <c r="D141" s="9" t="s">
        <v>5</v>
      </c>
      <c r="E141" s="10">
        <v>0.15</v>
      </c>
      <c r="F141" s="11" t="s">
        <v>6</v>
      </c>
      <c r="G141" s="18">
        <v>88</v>
      </c>
      <c r="H141" s="17">
        <f>C141*E141*G141</f>
        <v>3.96</v>
      </c>
      <c r="I141" s="14" t="s">
        <v>7</v>
      </c>
    </row>
    <row r="142" s="1" customFormat="1" ht="13" customHeight="1" spans="1:9">
      <c r="A142" s="7" t="s">
        <v>11</v>
      </c>
      <c r="B142" s="6" t="s">
        <v>11</v>
      </c>
      <c r="C142" s="14">
        <v>1.1</v>
      </c>
      <c r="D142" s="9" t="s">
        <v>5</v>
      </c>
      <c r="E142" s="10">
        <v>1.1</v>
      </c>
      <c r="F142" s="11" t="s">
        <v>6</v>
      </c>
      <c r="G142" s="18">
        <v>2</v>
      </c>
      <c r="H142" s="17">
        <f>C142*E142*G142</f>
        <v>2.42</v>
      </c>
      <c r="I142" s="14" t="s">
        <v>7</v>
      </c>
    </row>
    <row r="143" s="1" customFormat="1" ht="13" customHeight="1" spans="1:9">
      <c r="A143" s="30" t="s">
        <v>58</v>
      </c>
      <c r="B143" s="30" t="s">
        <v>9</v>
      </c>
      <c r="C143" s="37">
        <v>108</v>
      </c>
      <c r="D143" s="31" t="s">
        <v>5</v>
      </c>
      <c r="E143" s="22">
        <v>13</v>
      </c>
      <c r="F143" s="32" t="s">
        <v>6</v>
      </c>
      <c r="G143" s="33">
        <v>4</v>
      </c>
      <c r="H143" s="25">
        <f>C143*3.141*0.001*E143*G143</f>
        <v>17.639856</v>
      </c>
      <c r="I143" s="37" t="s">
        <v>25</v>
      </c>
    </row>
    <row r="144" s="1" customFormat="1" ht="13" customHeight="1" spans="1:9">
      <c r="A144" s="26" t="s">
        <v>26</v>
      </c>
      <c r="B144" s="30" t="s">
        <v>17</v>
      </c>
      <c r="C144" s="21">
        <v>70</v>
      </c>
      <c r="D144" s="31" t="s">
        <v>5</v>
      </c>
      <c r="E144" s="22">
        <v>1.1</v>
      </c>
      <c r="F144" s="32" t="s">
        <v>6</v>
      </c>
      <c r="G144" s="33">
        <v>28</v>
      </c>
      <c r="H144" s="29">
        <f>C144*4/1000*E144*G144</f>
        <v>8.624</v>
      </c>
      <c r="I144" s="34" t="s">
        <v>20</v>
      </c>
    </row>
    <row r="145" s="1" customFormat="1" ht="13" customHeight="1" spans="1:9">
      <c r="A145" s="26" t="s">
        <v>26</v>
      </c>
      <c r="B145" s="30" t="s">
        <v>17</v>
      </c>
      <c r="C145" s="21">
        <v>70</v>
      </c>
      <c r="D145" s="31" t="s">
        <v>5</v>
      </c>
      <c r="E145" s="22">
        <v>1.6</v>
      </c>
      <c r="F145" s="32" t="s">
        <v>6</v>
      </c>
      <c r="G145" s="33">
        <v>36</v>
      </c>
      <c r="H145" s="29">
        <f>C145*4/1000*E145*G145</f>
        <v>16.128</v>
      </c>
      <c r="I145" s="34" t="s">
        <v>20</v>
      </c>
    </row>
    <row r="146" s="1" customFormat="1" ht="13" customHeight="1" spans="1:9">
      <c r="A146" s="26" t="s">
        <v>27</v>
      </c>
      <c r="B146" s="27" t="s">
        <v>24</v>
      </c>
      <c r="C146" s="21">
        <v>14</v>
      </c>
      <c r="D146" s="9" t="s">
        <v>5</v>
      </c>
      <c r="E146" s="22">
        <v>1.1</v>
      </c>
      <c r="F146" s="23" t="s">
        <v>6</v>
      </c>
      <c r="G146" s="28">
        <f>IF(C146=10,0.392,IF(C146=12,0.452,IF(C146=14,0.52,IF(C146=16,0.58,IF(C146=20,0.7,IF(C146=22,0.756,IF(C146=8,0.332,IF(C146=18,0.632,查表))))))))</f>
        <v>0.52</v>
      </c>
      <c r="H146" s="29">
        <f>G146*E146</f>
        <v>0.572</v>
      </c>
      <c r="I146" s="37" t="s">
        <v>25</v>
      </c>
    </row>
    <row r="147" s="1" customFormat="1" ht="13" customHeight="1" spans="1:9">
      <c r="A147" s="7" t="s">
        <v>11</v>
      </c>
      <c r="B147" s="6" t="s">
        <v>11</v>
      </c>
      <c r="C147" s="14">
        <v>0.3</v>
      </c>
      <c r="D147" s="9" t="s">
        <v>5</v>
      </c>
      <c r="E147" s="10">
        <v>0.15</v>
      </c>
      <c r="F147" s="11" t="s">
        <v>6</v>
      </c>
      <c r="G147" s="18">
        <v>88</v>
      </c>
      <c r="H147" s="17">
        <f>C147*E147*G147</f>
        <v>3.96</v>
      </c>
      <c r="I147" s="14" t="s">
        <v>7</v>
      </c>
    </row>
    <row r="148" s="1" customFormat="1" ht="13" customHeight="1" spans="1:9">
      <c r="A148" s="7" t="s">
        <v>11</v>
      </c>
      <c r="B148" s="6" t="s">
        <v>11</v>
      </c>
      <c r="C148" s="14">
        <v>1.1</v>
      </c>
      <c r="D148" s="9" t="s">
        <v>5</v>
      </c>
      <c r="E148" s="10">
        <v>1.1</v>
      </c>
      <c r="F148" s="11" t="s">
        <v>6</v>
      </c>
      <c r="G148" s="18">
        <v>2</v>
      </c>
      <c r="H148" s="17">
        <f>C148*E148*G148</f>
        <v>2.42</v>
      </c>
      <c r="I148" s="14" t="s">
        <v>7</v>
      </c>
    </row>
    <row r="149" s="1" customFormat="1" ht="13" customHeight="1" spans="1:9">
      <c r="A149" s="30" t="s">
        <v>58</v>
      </c>
      <c r="B149" s="30" t="s">
        <v>9</v>
      </c>
      <c r="C149" s="37">
        <v>108</v>
      </c>
      <c r="D149" s="31" t="s">
        <v>5</v>
      </c>
      <c r="E149" s="22">
        <v>13</v>
      </c>
      <c r="F149" s="32" t="s">
        <v>6</v>
      </c>
      <c r="G149" s="33">
        <v>4</v>
      </c>
      <c r="H149" s="25">
        <f>C149*3.141*0.001*E149*G149</f>
        <v>17.639856</v>
      </c>
      <c r="I149" s="37" t="s">
        <v>25</v>
      </c>
    </row>
    <row r="150" s="2" customFormat="1" spans="1:9">
      <c r="A150" s="1" t="s">
        <v>59</v>
      </c>
      <c r="B150" s="1"/>
      <c r="C150" s="1"/>
      <c r="D150" s="1"/>
      <c r="E150" s="1"/>
      <c r="F150" s="1"/>
      <c r="G150" s="1"/>
      <c r="H150" s="1"/>
      <c r="I150" s="1"/>
    </row>
    <row r="151" s="2" customFormat="1" ht="16.5" spans="1:9">
      <c r="A151" s="7" t="s">
        <v>18</v>
      </c>
      <c r="B151" s="7" t="s">
        <v>9</v>
      </c>
      <c r="C151" s="14">
        <v>159</v>
      </c>
      <c r="D151" s="9" t="s">
        <v>5</v>
      </c>
      <c r="E151" s="10">
        <v>154</v>
      </c>
      <c r="F151" s="15" t="s">
        <v>6</v>
      </c>
      <c r="G151" s="18">
        <v>4</v>
      </c>
      <c r="H151" s="17">
        <f>C151*3.141*0.001*E151*G151</f>
        <v>307.642104</v>
      </c>
      <c r="I151" s="14" t="s">
        <v>7</v>
      </c>
    </row>
    <row r="152" s="2" customFormat="1" ht="16.5" spans="1:9">
      <c r="A152" s="6" t="s">
        <v>16</v>
      </c>
      <c r="B152" s="7" t="s">
        <v>4</v>
      </c>
      <c r="C152" s="8">
        <v>12</v>
      </c>
      <c r="D152" s="9" t="s">
        <v>5</v>
      </c>
      <c r="E152" s="10">
        <f>24*4</f>
        <v>96</v>
      </c>
      <c r="F152" s="11" t="s">
        <v>6</v>
      </c>
      <c r="G152" s="12">
        <f>IF(C152=10,0.392,IF(C152=12,0.452,IF(C152=14,0.52,IF(C152=16,0.58,IF(C152=20,0.7,IF(C152=22,0.756,IF(C152=8,0.332,IF(C152=18,0.632,查表))))))))</f>
        <v>0.452</v>
      </c>
      <c r="H152" s="13">
        <f t="shared" ref="H152:H157" si="19">G152*E152</f>
        <v>43.392</v>
      </c>
      <c r="I152" s="14" t="s">
        <v>7</v>
      </c>
    </row>
    <row r="153" s="2" customFormat="1" ht="16.5" spans="1:9">
      <c r="A153" s="6" t="s">
        <v>53</v>
      </c>
      <c r="B153" s="7" t="s">
        <v>4</v>
      </c>
      <c r="C153" s="8">
        <v>10</v>
      </c>
      <c r="D153" s="9" t="s">
        <v>5</v>
      </c>
      <c r="E153" s="10">
        <f>6*9*4</f>
        <v>216</v>
      </c>
      <c r="F153" s="11" t="s">
        <v>6</v>
      </c>
      <c r="G153" s="12">
        <f>IF(C153=10,0.392,IF(C153=12,0.452,IF(C153=14,0.52,IF(C153=16,0.58,IF(C153=20,0.7,IF(C153=22,0.756,IF(C153=8,0.332,IF(C153=18,0.632,查表))))))))</f>
        <v>0.392</v>
      </c>
      <c r="H153" s="13">
        <f t="shared" si="19"/>
        <v>84.672</v>
      </c>
      <c r="I153" s="14" t="s">
        <v>7</v>
      </c>
    </row>
    <row r="154" s="2" customFormat="1" ht="16.5" spans="1:9">
      <c r="A154" s="6" t="s">
        <v>26</v>
      </c>
      <c r="B154" s="7" t="s">
        <v>17</v>
      </c>
      <c r="C154" s="8">
        <v>50</v>
      </c>
      <c r="D154" s="9" t="s">
        <v>5</v>
      </c>
      <c r="E154" s="10">
        <v>2</v>
      </c>
      <c r="F154" s="15" t="s">
        <v>6</v>
      </c>
      <c r="G154" s="18">
        <f>9*4</f>
        <v>36</v>
      </c>
      <c r="H154" s="13">
        <f>C154*4/1000*E154*G154</f>
        <v>14.4</v>
      </c>
      <c r="I154" s="14" t="s">
        <v>7</v>
      </c>
    </row>
    <row r="155" s="2" customFormat="1" ht="16.5" spans="1:9">
      <c r="A155" s="7" t="s">
        <v>8</v>
      </c>
      <c r="B155" s="7" t="s">
        <v>9</v>
      </c>
      <c r="C155" s="14">
        <v>32</v>
      </c>
      <c r="D155" s="9" t="s">
        <v>5</v>
      </c>
      <c r="E155" s="10">
        <v>14</v>
      </c>
      <c r="F155" s="15" t="s">
        <v>6</v>
      </c>
      <c r="G155" s="18">
        <v>36</v>
      </c>
      <c r="H155" s="17">
        <f>C155*3.141*0.001*E155*G155</f>
        <v>50.658048</v>
      </c>
      <c r="I155" s="14" t="s">
        <v>7</v>
      </c>
    </row>
    <row r="156" s="2" customFormat="1" ht="16.5" spans="1:9">
      <c r="A156" s="7" t="s">
        <v>10</v>
      </c>
      <c r="B156" s="6" t="s">
        <v>11</v>
      </c>
      <c r="C156" s="14">
        <v>0.04</v>
      </c>
      <c r="D156" s="9" t="s">
        <v>5</v>
      </c>
      <c r="E156" s="10">
        <v>12</v>
      </c>
      <c r="F156" s="11" t="s">
        <v>6</v>
      </c>
      <c r="G156" s="18">
        <f>2*9*4</f>
        <v>72</v>
      </c>
      <c r="H156" s="17">
        <f t="shared" ref="H156:H160" si="20">C156*E156*G156</f>
        <v>34.56</v>
      </c>
      <c r="I156" s="14" t="s">
        <v>7</v>
      </c>
    </row>
    <row r="157" s="2" customFormat="1" ht="16.5" spans="1:9">
      <c r="A157" s="6" t="s">
        <v>53</v>
      </c>
      <c r="B157" s="7" t="s">
        <v>4</v>
      </c>
      <c r="C157" s="8">
        <v>10</v>
      </c>
      <c r="D157" s="9" t="s">
        <v>5</v>
      </c>
      <c r="E157" s="10">
        <f>17*3*4</f>
        <v>204</v>
      </c>
      <c r="F157" s="11" t="s">
        <v>6</v>
      </c>
      <c r="G157" s="12">
        <f>IF(C157=10,0.392,IF(C157=12,0.452,IF(C157=14,0.52,IF(C157=16,0.58,IF(C157=20,0.7,IF(C157=22,0.756,IF(C157=8,0.332,IF(C157=18,0.632,查表))))))))</f>
        <v>0.392</v>
      </c>
      <c r="H157" s="13">
        <f t="shared" si="19"/>
        <v>79.968</v>
      </c>
      <c r="I157" s="14" t="s">
        <v>7</v>
      </c>
    </row>
    <row r="158" s="2" customFormat="1" ht="16.5" spans="1:9">
      <c r="A158" s="7" t="s">
        <v>8</v>
      </c>
      <c r="B158" s="7" t="s">
        <v>9</v>
      </c>
      <c r="C158" s="14">
        <v>32</v>
      </c>
      <c r="D158" s="9" t="s">
        <v>5</v>
      </c>
      <c r="E158" s="10">
        <v>40</v>
      </c>
      <c r="F158" s="15" t="s">
        <v>6</v>
      </c>
      <c r="G158" s="18">
        <v>12</v>
      </c>
      <c r="H158" s="17">
        <f>C158*3.141*0.001*E158*G158</f>
        <v>48.24576</v>
      </c>
      <c r="I158" s="14" t="s">
        <v>7</v>
      </c>
    </row>
    <row r="159" s="2" customFormat="1" ht="16.5" spans="1:9">
      <c r="A159" s="7" t="s">
        <v>10</v>
      </c>
      <c r="B159" s="6" t="s">
        <v>11</v>
      </c>
      <c r="C159" s="14">
        <v>0.04</v>
      </c>
      <c r="D159" s="9" t="s">
        <v>5</v>
      </c>
      <c r="E159" s="10">
        <v>38</v>
      </c>
      <c r="F159" s="11" t="s">
        <v>6</v>
      </c>
      <c r="G159" s="18">
        <v>24</v>
      </c>
      <c r="H159" s="17">
        <f t="shared" si="20"/>
        <v>36.48</v>
      </c>
      <c r="I159" s="14" t="s">
        <v>7</v>
      </c>
    </row>
    <row r="160" s="2" customFormat="1" ht="16.5" spans="1:9">
      <c r="A160" s="7" t="s">
        <v>60</v>
      </c>
      <c r="B160" s="6" t="s">
        <v>11</v>
      </c>
      <c r="C160" s="14">
        <v>0.04</v>
      </c>
      <c r="D160" s="9" t="s">
        <v>5</v>
      </c>
      <c r="E160" s="10">
        <v>100</v>
      </c>
      <c r="F160" s="11" t="s">
        <v>6</v>
      </c>
      <c r="G160" s="18">
        <v>4</v>
      </c>
      <c r="H160" s="17">
        <f t="shared" si="20"/>
        <v>16</v>
      </c>
      <c r="I160" s="14" t="s">
        <v>7</v>
      </c>
    </row>
    <row r="161" s="2" customFormat="1" ht="16.5" spans="1:9">
      <c r="A161" s="7" t="s">
        <v>18</v>
      </c>
      <c r="B161" s="7" t="s">
        <v>9</v>
      </c>
      <c r="C161" s="14">
        <v>159</v>
      </c>
      <c r="D161" s="9" t="s">
        <v>5</v>
      </c>
      <c r="E161" s="10">
        <v>100</v>
      </c>
      <c r="F161" s="15" t="s">
        <v>6</v>
      </c>
      <c r="G161" s="18">
        <v>1</v>
      </c>
      <c r="H161" s="17">
        <f>C161*3.141*0.001*E161*G161</f>
        <v>49.9419</v>
      </c>
      <c r="I161" s="14" t="s">
        <v>7</v>
      </c>
    </row>
    <row r="162" s="2" customFormat="1" ht="16.5" spans="1:9">
      <c r="A162" s="6" t="s">
        <v>29</v>
      </c>
      <c r="B162" s="7" t="s">
        <v>4</v>
      </c>
      <c r="C162" s="8">
        <v>10</v>
      </c>
      <c r="D162" s="9" t="s">
        <v>5</v>
      </c>
      <c r="E162" s="10">
        <v>25</v>
      </c>
      <c r="F162" s="11" t="s">
        <v>6</v>
      </c>
      <c r="G162" s="12">
        <f>IF(C162=10,0.392,IF(C162=12,0.452,IF(C162=14,0.52,IF(C162=16,0.58,IF(C162=20,0.7,IF(C162=22,0.756,IF(C162=8,0.332,IF(C162=18,0.632,查表))))))))</f>
        <v>0.392</v>
      </c>
      <c r="H162" s="13">
        <f>G162*E162</f>
        <v>9.8</v>
      </c>
      <c r="I162" s="14" t="s">
        <v>7</v>
      </c>
    </row>
    <row r="163" s="2" customFormat="1" ht="16.5" spans="1:9">
      <c r="A163" s="7" t="s">
        <v>12</v>
      </c>
      <c r="B163" s="6" t="s">
        <v>11</v>
      </c>
      <c r="C163" s="14">
        <v>0.07</v>
      </c>
      <c r="D163" s="9" t="s">
        <v>5</v>
      </c>
      <c r="E163" s="10">
        <v>16</v>
      </c>
      <c r="F163" s="11" t="s">
        <v>6</v>
      </c>
      <c r="G163" s="18">
        <v>16</v>
      </c>
      <c r="H163" s="17">
        <f t="shared" ref="H163:H166" si="21">C163*E163*G163</f>
        <v>17.92</v>
      </c>
      <c r="I163" s="14" t="s">
        <v>7</v>
      </c>
    </row>
    <row r="164" s="2" customFormat="1" ht="16.5" spans="1:9">
      <c r="A164" s="7" t="s">
        <v>61</v>
      </c>
      <c r="B164" s="6" t="s">
        <v>11</v>
      </c>
      <c r="C164" s="14">
        <v>0.05</v>
      </c>
      <c r="D164" s="9" t="s">
        <v>5</v>
      </c>
      <c r="E164" s="10">
        <v>1.9</v>
      </c>
      <c r="F164" s="11" t="s">
        <v>6</v>
      </c>
      <c r="G164" s="18">
        <v>120</v>
      </c>
      <c r="H164" s="17">
        <f t="shared" si="21"/>
        <v>11.4</v>
      </c>
      <c r="I164" s="14" t="s">
        <v>7</v>
      </c>
    </row>
    <row r="165" s="2" customFormat="1" ht="16.5" spans="1:9">
      <c r="A165" s="7" t="s">
        <v>61</v>
      </c>
      <c r="B165" s="6" t="s">
        <v>11</v>
      </c>
      <c r="C165" s="14">
        <v>0.05</v>
      </c>
      <c r="D165" s="9" t="s">
        <v>5</v>
      </c>
      <c r="E165" s="10">
        <v>16</v>
      </c>
      <c r="F165" s="11" t="s">
        <v>6</v>
      </c>
      <c r="G165" s="18">
        <v>40</v>
      </c>
      <c r="H165" s="17">
        <f t="shared" si="21"/>
        <v>32</v>
      </c>
      <c r="I165" s="14" t="s">
        <v>7</v>
      </c>
    </row>
    <row r="166" s="2" customFormat="1" ht="16.5" spans="1:9">
      <c r="A166" s="7" t="s">
        <v>54</v>
      </c>
      <c r="B166" s="6" t="s">
        <v>11</v>
      </c>
      <c r="C166" s="14">
        <v>1</v>
      </c>
      <c r="D166" s="9" t="s">
        <v>5</v>
      </c>
      <c r="E166" s="10">
        <v>1.5</v>
      </c>
      <c r="F166" s="11" t="s">
        <v>6</v>
      </c>
      <c r="G166" s="18">
        <v>8</v>
      </c>
      <c r="H166" s="17">
        <f t="shared" si="21"/>
        <v>12</v>
      </c>
      <c r="I166" s="14" t="s">
        <v>7</v>
      </c>
    </row>
    <row r="167" s="2" customFormat="1" ht="16.5" spans="1:9">
      <c r="A167" s="6" t="s">
        <v>26</v>
      </c>
      <c r="B167" s="7" t="s">
        <v>17</v>
      </c>
      <c r="C167" s="8">
        <v>63</v>
      </c>
      <c r="D167" s="9" t="s">
        <v>5</v>
      </c>
      <c r="E167" s="10">
        <v>7</v>
      </c>
      <c r="F167" s="15" t="s">
        <v>6</v>
      </c>
      <c r="G167" s="18">
        <v>4</v>
      </c>
      <c r="H167" s="13">
        <f>C167*4/1000*E167*G167</f>
        <v>7.056</v>
      </c>
      <c r="I167" s="14" t="s">
        <v>7</v>
      </c>
    </row>
    <row r="168" s="2" customFormat="1" ht="16.5" spans="1:9">
      <c r="A168" s="7" t="s">
        <v>13</v>
      </c>
      <c r="B168" s="7" t="s">
        <v>9</v>
      </c>
      <c r="C168" s="14">
        <v>20</v>
      </c>
      <c r="D168" s="9" t="s">
        <v>5</v>
      </c>
      <c r="E168" s="10">
        <v>0.5</v>
      </c>
      <c r="F168" s="15" t="s">
        <v>6</v>
      </c>
      <c r="G168" s="18">
        <v>200</v>
      </c>
      <c r="H168" s="17">
        <f t="shared" ref="H168:H172" si="22">C168*3.141*0.001*E168*G168</f>
        <v>6.282</v>
      </c>
      <c r="I168" s="14" t="s">
        <v>7</v>
      </c>
    </row>
    <row r="169" s="2" customFormat="1" ht="16.5" spans="1:9">
      <c r="A169" s="7" t="s">
        <v>8</v>
      </c>
      <c r="B169" s="7" t="s">
        <v>9</v>
      </c>
      <c r="C169" s="14">
        <v>32</v>
      </c>
      <c r="D169" s="9" t="s">
        <v>5</v>
      </c>
      <c r="E169" s="10">
        <v>100</v>
      </c>
      <c r="F169" s="15" t="s">
        <v>6</v>
      </c>
      <c r="G169" s="18">
        <v>4</v>
      </c>
      <c r="H169" s="17">
        <f t="shared" si="22"/>
        <v>40.2048</v>
      </c>
      <c r="I169" s="14" t="s">
        <v>7</v>
      </c>
    </row>
    <row r="170" s="2" customFormat="1" ht="16.5" spans="1:9">
      <c r="A170" s="7" t="s">
        <v>10</v>
      </c>
      <c r="B170" s="6" t="s">
        <v>11</v>
      </c>
      <c r="C170" s="14">
        <v>0.04</v>
      </c>
      <c r="D170" s="9" t="s">
        <v>5</v>
      </c>
      <c r="E170" s="10">
        <v>50</v>
      </c>
      <c r="F170" s="11" t="s">
        <v>6</v>
      </c>
      <c r="G170" s="18">
        <v>24</v>
      </c>
      <c r="H170" s="17">
        <f t="shared" ref="H170:H174" si="23">C170*E170*G170</f>
        <v>48</v>
      </c>
      <c r="I170" s="14" t="s">
        <v>7</v>
      </c>
    </row>
    <row r="171" s="1" customFormat="1" ht="16.5" spans="1:9">
      <c r="A171" s="26" t="s">
        <v>26</v>
      </c>
      <c r="B171" s="30" t="s">
        <v>17</v>
      </c>
      <c r="C171" s="21">
        <v>50</v>
      </c>
      <c r="D171" s="31" t="s">
        <v>5</v>
      </c>
      <c r="E171" s="22">
        <v>5</v>
      </c>
      <c r="F171" s="32" t="s">
        <v>6</v>
      </c>
      <c r="G171" s="33">
        <v>8</v>
      </c>
      <c r="H171" s="29">
        <f>C171*4/1000*E171*G171</f>
        <v>8</v>
      </c>
      <c r="I171" s="34" t="s">
        <v>20</v>
      </c>
    </row>
    <row r="172" s="1" customFormat="1" ht="16.5" spans="1:9">
      <c r="A172" s="30" t="s">
        <v>8</v>
      </c>
      <c r="B172" s="30" t="s">
        <v>9</v>
      </c>
      <c r="C172" s="37">
        <v>32</v>
      </c>
      <c r="D172" s="31" t="s">
        <v>5</v>
      </c>
      <c r="E172" s="22">
        <v>7.5</v>
      </c>
      <c r="F172" s="32" t="s">
        <v>6</v>
      </c>
      <c r="G172" s="33">
        <v>8</v>
      </c>
      <c r="H172" s="25">
        <f t="shared" si="22"/>
        <v>6.03072</v>
      </c>
      <c r="I172" s="37" t="s">
        <v>25</v>
      </c>
    </row>
    <row r="173" s="1" customFormat="1" ht="16.5" spans="1:9">
      <c r="A173" s="7" t="s">
        <v>62</v>
      </c>
      <c r="B173" s="6" t="s">
        <v>11</v>
      </c>
      <c r="C173" s="14">
        <v>0.2</v>
      </c>
      <c r="D173" s="9" t="s">
        <v>5</v>
      </c>
      <c r="E173" s="10">
        <v>2.8</v>
      </c>
      <c r="F173" s="11" t="s">
        <v>6</v>
      </c>
      <c r="G173" s="18">
        <v>32</v>
      </c>
      <c r="H173" s="17">
        <f t="shared" si="23"/>
        <v>17.92</v>
      </c>
      <c r="I173" s="14" t="s">
        <v>7</v>
      </c>
    </row>
    <row r="174" s="1" customFormat="1" ht="16.5" spans="1:9">
      <c r="A174" s="7" t="s">
        <v>10</v>
      </c>
      <c r="B174" s="6" t="s">
        <v>11</v>
      </c>
      <c r="C174" s="14">
        <v>0.04</v>
      </c>
      <c r="D174" s="9" t="s">
        <v>5</v>
      </c>
      <c r="E174" s="10">
        <v>4.3</v>
      </c>
      <c r="F174" s="11" t="s">
        <v>6</v>
      </c>
      <c r="G174" s="18">
        <v>16</v>
      </c>
      <c r="H174" s="17">
        <f t="shared" si="23"/>
        <v>2.752</v>
      </c>
      <c r="I174" s="14" t="s">
        <v>7</v>
      </c>
    </row>
    <row r="175" s="1" customFormat="1" ht="16.5" spans="1:9">
      <c r="A175" s="26" t="s">
        <v>26</v>
      </c>
      <c r="B175" s="30" t="s">
        <v>17</v>
      </c>
      <c r="C175" s="21">
        <v>100</v>
      </c>
      <c r="D175" s="31" t="s">
        <v>5</v>
      </c>
      <c r="E175" s="22">
        <v>13</v>
      </c>
      <c r="F175" s="32" t="s">
        <v>6</v>
      </c>
      <c r="G175" s="33">
        <v>4</v>
      </c>
      <c r="H175" s="29">
        <f t="shared" ref="H175:H180" si="24">C175*4/1000*E175*G175</f>
        <v>20.8</v>
      </c>
      <c r="I175" s="34" t="s">
        <v>20</v>
      </c>
    </row>
    <row r="176" s="1" customFormat="1" ht="16.5" spans="1:9">
      <c r="A176" s="19" t="s">
        <v>63</v>
      </c>
      <c r="B176" s="20">
        <v>180</v>
      </c>
      <c r="C176" s="21">
        <v>90</v>
      </c>
      <c r="D176" s="9" t="s">
        <v>5</v>
      </c>
      <c r="E176" s="22">
        <v>13</v>
      </c>
      <c r="F176" s="23" t="s">
        <v>6</v>
      </c>
      <c r="G176" s="24">
        <v>2</v>
      </c>
      <c r="H176" s="25">
        <f>(B176*2+C176*4)/1000*E176*G176</f>
        <v>18.72</v>
      </c>
      <c r="I176" s="34" t="s">
        <v>20</v>
      </c>
    </row>
    <row r="177" s="1" customFormat="1" ht="16.5" spans="1:9">
      <c r="A177" s="7" t="s">
        <v>64</v>
      </c>
      <c r="B177" s="6" t="s">
        <v>11</v>
      </c>
      <c r="C177" s="14">
        <v>0.3</v>
      </c>
      <c r="D177" s="9" t="s">
        <v>5</v>
      </c>
      <c r="E177" s="10">
        <v>0.3</v>
      </c>
      <c r="F177" s="11" t="s">
        <v>6</v>
      </c>
      <c r="G177" s="18">
        <v>240</v>
      </c>
      <c r="H177" s="17">
        <f>C177*E177*G177</f>
        <v>21.6</v>
      </c>
      <c r="I177" s="14" t="s">
        <v>7</v>
      </c>
    </row>
    <row r="178" s="1" customFormat="1" ht="16.5" spans="1:9">
      <c r="A178" s="26" t="s">
        <v>26</v>
      </c>
      <c r="B178" s="30" t="s">
        <v>17</v>
      </c>
      <c r="C178" s="21">
        <v>70</v>
      </c>
      <c r="D178" s="31" t="s">
        <v>5</v>
      </c>
      <c r="E178" s="22">
        <v>1.5</v>
      </c>
      <c r="F178" s="32" t="s">
        <v>6</v>
      </c>
      <c r="G178" s="33">
        <v>60</v>
      </c>
      <c r="H178" s="29">
        <f t="shared" si="24"/>
        <v>25.2</v>
      </c>
      <c r="I178" s="34" t="s">
        <v>20</v>
      </c>
    </row>
    <row r="179" s="1" customFormat="1" ht="16.5" spans="1:9">
      <c r="A179" s="26" t="s">
        <v>26</v>
      </c>
      <c r="B179" s="30" t="s">
        <v>17</v>
      </c>
      <c r="C179" s="21">
        <v>70</v>
      </c>
      <c r="D179" s="31" t="s">
        <v>5</v>
      </c>
      <c r="E179" s="22">
        <v>3</v>
      </c>
      <c r="F179" s="32" t="s">
        <v>6</v>
      </c>
      <c r="G179" s="33">
        <v>6</v>
      </c>
      <c r="H179" s="29">
        <f t="shared" si="24"/>
        <v>5.04</v>
      </c>
      <c r="I179" s="34" t="s">
        <v>20</v>
      </c>
    </row>
    <row r="180" s="1" customFormat="1" ht="16.5" spans="1:9">
      <c r="A180" s="26" t="s">
        <v>26</v>
      </c>
      <c r="B180" s="30" t="s">
        <v>17</v>
      </c>
      <c r="C180" s="21">
        <v>50</v>
      </c>
      <c r="D180" s="31" t="s">
        <v>5</v>
      </c>
      <c r="E180" s="22">
        <v>1.5</v>
      </c>
      <c r="F180" s="32" t="s">
        <v>6</v>
      </c>
      <c r="G180" s="33">
        <v>21</v>
      </c>
      <c r="H180" s="29">
        <f t="shared" si="24"/>
        <v>6.3</v>
      </c>
      <c r="I180" s="34" t="s">
        <v>20</v>
      </c>
    </row>
    <row r="181" s="1" customFormat="1" ht="16.5" spans="1:9">
      <c r="A181" s="7" t="s">
        <v>11</v>
      </c>
      <c r="B181" s="6" t="s">
        <v>11</v>
      </c>
      <c r="C181" s="14">
        <v>1.5</v>
      </c>
      <c r="D181" s="9" t="s">
        <v>5</v>
      </c>
      <c r="E181" s="10">
        <v>2</v>
      </c>
      <c r="F181" s="11" t="s">
        <v>6</v>
      </c>
      <c r="G181" s="18">
        <v>2</v>
      </c>
      <c r="H181" s="17">
        <f>C181*E181*G181</f>
        <v>6</v>
      </c>
      <c r="I181" s="14" t="s">
        <v>7</v>
      </c>
    </row>
    <row r="182" s="1" customFormat="1" ht="16.5" spans="1:9">
      <c r="A182" s="26" t="s">
        <v>3</v>
      </c>
      <c r="B182" s="30" t="s">
        <v>17</v>
      </c>
      <c r="C182" s="21">
        <v>63</v>
      </c>
      <c r="D182" s="31" t="s">
        <v>5</v>
      </c>
      <c r="E182" s="22">
        <v>1.5</v>
      </c>
      <c r="F182" s="32" t="s">
        <v>6</v>
      </c>
      <c r="G182" s="33">
        <v>30</v>
      </c>
      <c r="H182" s="29">
        <f t="shared" ref="H182:H184" si="25">C182*4/1000*E182*G182</f>
        <v>11.34</v>
      </c>
      <c r="I182" s="34" t="s">
        <v>20</v>
      </c>
    </row>
    <row r="183" s="1" customFormat="1" ht="16.5" spans="1:9">
      <c r="A183" s="26" t="s">
        <v>3</v>
      </c>
      <c r="B183" s="30" t="s">
        <v>17</v>
      </c>
      <c r="C183" s="21">
        <v>63</v>
      </c>
      <c r="D183" s="31" t="s">
        <v>5</v>
      </c>
      <c r="E183" s="22">
        <v>17</v>
      </c>
      <c r="F183" s="32" t="s">
        <v>6</v>
      </c>
      <c r="G183" s="33">
        <v>2</v>
      </c>
      <c r="H183" s="29">
        <f t="shared" si="25"/>
        <v>8.568</v>
      </c>
      <c r="I183" s="34" t="s">
        <v>20</v>
      </c>
    </row>
    <row r="184" s="1" customFormat="1" ht="16.5" spans="1:9">
      <c r="A184" s="26" t="s">
        <v>3</v>
      </c>
      <c r="B184" s="30" t="s">
        <v>17</v>
      </c>
      <c r="C184" s="21">
        <v>63</v>
      </c>
      <c r="D184" s="31" t="s">
        <v>5</v>
      </c>
      <c r="E184" s="22">
        <v>40</v>
      </c>
      <c r="F184" s="32" t="s">
        <v>6</v>
      </c>
      <c r="G184" s="33">
        <v>1</v>
      </c>
      <c r="H184" s="29">
        <f t="shared" si="25"/>
        <v>10.08</v>
      </c>
      <c r="I184" s="34" t="s">
        <v>20</v>
      </c>
    </row>
    <row r="185" s="1" customFormat="1" ht="16.5" spans="1:9">
      <c r="A185" s="26" t="s">
        <v>65</v>
      </c>
      <c r="B185" s="27" t="s">
        <v>24</v>
      </c>
      <c r="C185" s="21">
        <v>8</v>
      </c>
      <c r="D185" s="9" t="s">
        <v>5</v>
      </c>
      <c r="E185" s="22">
        <v>16</v>
      </c>
      <c r="F185" s="23" t="s">
        <v>6</v>
      </c>
      <c r="G185" s="28">
        <f>IF(C185=10,0.392,IF(C185=12,0.452,IF(C185=14,0.52,IF(C185=16,0.58,IF(C185=20,0.7,IF(C185=22,0.756,IF(C185=8,0.332,IF(C185=18,0.632,查表))))))))</f>
        <v>0.332</v>
      </c>
      <c r="H185" s="29">
        <f>G185*E185</f>
        <v>5.312</v>
      </c>
      <c r="I185" s="37" t="s">
        <v>25</v>
      </c>
    </row>
    <row r="186" s="2" customFormat="1" ht="16.5" spans="1:9">
      <c r="A186" s="26" t="s">
        <v>26</v>
      </c>
      <c r="B186" s="30" t="s">
        <v>17</v>
      </c>
      <c r="C186" s="21">
        <v>50</v>
      </c>
      <c r="D186" s="31" t="s">
        <v>5</v>
      </c>
      <c r="E186" s="22">
        <v>5</v>
      </c>
      <c r="F186" s="32" t="s">
        <v>6</v>
      </c>
      <c r="G186" s="33">
        <v>8</v>
      </c>
      <c r="H186" s="29">
        <f>C186*4/1000*E186*G186</f>
        <v>8</v>
      </c>
      <c r="I186" s="34" t="s">
        <v>20</v>
      </c>
    </row>
    <row r="187" s="2" customFormat="1" ht="16.5" spans="1:9">
      <c r="A187" s="30" t="s">
        <v>8</v>
      </c>
      <c r="B187" s="30" t="s">
        <v>9</v>
      </c>
      <c r="C187" s="37">
        <v>32</v>
      </c>
      <c r="D187" s="31" t="s">
        <v>5</v>
      </c>
      <c r="E187" s="22">
        <v>7.5</v>
      </c>
      <c r="F187" s="32" t="s">
        <v>6</v>
      </c>
      <c r="G187" s="33">
        <v>8</v>
      </c>
      <c r="H187" s="25">
        <f>C187*3.141*0.001*E187*G187</f>
        <v>6.03072</v>
      </c>
      <c r="I187" s="37" t="s">
        <v>25</v>
      </c>
    </row>
    <row r="188" s="2" customFormat="1" ht="16.5" spans="1:9">
      <c r="A188" s="7" t="s">
        <v>62</v>
      </c>
      <c r="B188" s="6" t="s">
        <v>11</v>
      </c>
      <c r="C188" s="14">
        <v>0.2</v>
      </c>
      <c r="D188" s="9" t="s">
        <v>5</v>
      </c>
      <c r="E188" s="10">
        <v>2.8</v>
      </c>
      <c r="F188" s="11" t="s">
        <v>6</v>
      </c>
      <c r="G188" s="18">
        <v>32</v>
      </c>
      <c r="H188" s="17">
        <f t="shared" ref="H188:H193" si="26">C188*E188*G188</f>
        <v>17.92</v>
      </c>
      <c r="I188" s="14" t="s">
        <v>7</v>
      </c>
    </row>
    <row r="189" s="2" customFormat="1" ht="16.5" spans="1:9">
      <c r="A189" s="7" t="s">
        <v>10</v>
      </c>
      <c r="B189" s="6" t="s">
        <v>11</v>
      </c>
      <c r="C189" s="14">
        <v>0.04</v>
      </c>
      <c r="D189" s="9" t="s">
        <v>5</v>
      </c>
      <c r="E189" s="10">
        <v>4.3</v>
      </c>
      <c r="F189" s="11" t="s">
        <v>6</v>
      </c>
      <c r="G189" s="18">
        <v>16</v>
      </c>
      <c r="H189" s="17">
        <f t="shared" si="26"/>
        <v>2.752</v>
      </c>
      <c r="I189" s="14" t="s">
        <v>7</v>
      </c>
    </row>
    <row r="190" s="2" customFormat="1" ht="16.5" spans="1:9">
      <c r="A190" s="26" t="s">
        <v>26</v>
      </c>
      <c r="B190" s="30" t="s">
        <v>17</v>
      </c>
      <c r="C190" s="21">
        <v>100</v>
      </c>
      <c r="D190" s="31" t="s">
        <v>5</v>
      </c>
      <c r="E190" s="22">
        <v>13</v>
      </c>
      <c r="F190" s="32" t="s">
        <v>6</v>
      </c>
      <c r="G190" s="33">
        <v>4</v>
      </c>
      <c r="H190" s="29">
        <f t="shared" ref="H190:H196" si="27">C190*4/1000*E190*G190</f>
        <v>20.8</v>
      </c>
      <c r="I190" s="34" t="s">
        <v>20</v>
      </c>
    </row>
    <row r="191" s="2" customFormat="1" ht="16.5" spans="1:9">
      <c r="A191" s="19" t="s">
        <v>63</v>
      </c>
      <c r="B191" s="20">
        <v>180</v>
      </c>
      <c r="C191" s="21">
        <v>90</v>
      </c>
      <c r="D191" s="9" t="s">
        <v>5</v>
      </c>
      <c r="E191" s="22">
        <v>13</v>
      </c>
      <c r="F191" s="23" t="s">
        <v>6</v>
      </c>
      <c r="G191" s="24">
        <v>4</v>
      </c>
      <c r="H191" s="25">
        <f>(B191*2+C191*4)/1000*E191*G191</f>
        <v>37.44</v>
      </c>
      <c r="I191" s="34" t="s">
        <v>20</v>
      </c>
    </row>
    <row r="192" s="2" customFormat="1" ht="16.5" spans="1:9">
      <c r="A192" s="19" t="s">
        <v>63</v>
      </c>
      <c r="B192" s="20">
        <v>180</v>
      </c>
      <c r="C192" s="21">
        <v>90</v>
      </c>
      <c r="D192" s="9" t="s">
        <v>5</v>
      </c>
      <c r="E192" s="22">
        <v>1</v>
      </c>
      <c r="F192" s="23" t="s">
        <v>6</v>
      </c>
      <c r="G192" s="24">
        <v>6</v>
      </c>
      <c r="H192" s="25">
        <f>(B192*2+C192*4)/1000*E192*G192</f>
        <v>4.32</v>
      </c>
      <c r="I192" s="34" t="s">
        <v>20</v>
      </c>
    </row>
    <row r="193" s="2" customFormat="1" ht="16.5" spans="1:9">
      <c r="A193" s="7" t="s">
        <v>64</v>
      </c>
      <c r="B193" s="6" t="s">
        <v>11</v>
      </c>
      <c r="C193" s="14">
        <v>0.3</v>
      </c>
      <c r="D193" s="9" t="s">
        <v>5</v>
      </c>
      <c r="E193" s="10">
        <v>0.3</v>
      </c>
      <c r="F193" s="11" t="s">
        <v>6</v>
      </c>
      <c r="G193" s="18">
        <v>240</v>
      </c>
      <c r="H193" s="17">
        <f t="shared" si="26"/>
        <v>21.6</v>
      </c>
      <c r="I193" s="14" t="s">
        <v>7</v>
      </c>
    </row>
    <row r="194" s="2" customFormat="1" ht="16.5" spans="1:9">
      <c r="A194" s="26" t="s">
        <v>26</v>
      </c>
      <c r="B194" s="30" t="s">
        <v>17</v>
      </c>
      <c r="C194" s="21">
        <v>70</v>
      </c>
      <c r="D194" s="31" t="s">
        <v>5</v>
      </c>
      <c r="E194" s="22">
        <v>1.5</v>
      </c>
      <c r="F194" s="32" t="s">
        <v>6</v>
      </c>
      <c r="G194" s="33">
        <v>60</v>
      </c>
      <c r="H194" s="29">
        <f t="shared" si="27"/>
        <v>25.2</v>
      </c>
      <c r="I194" s="34" t="s">
        <v>20</v>
      </c>
    </row>
    <row r="195" s="2" customFormat="1" ht="16.5" spans="1:9">
      <c r="A195" s="26" t="s">
        <v>26</v>
      </c>
      <c r="B195" s="30" t="s">
        <v>17</v>
      </c>
      <c r="C195" s="21">
        <v>70</v>
      </c>
      <c r="D195" s="31" t="s">
        <v>5</v>
      </c>
      <c r="E195" s="22">
        <v>3</v>
      </c>
      <c r="F195" s="32" t="s">
        <v>6</v>
      </c>
      <c r="G195" s="33">
        <v>6</v>
      </c>
      <c r="H195" s="29">
        <f t="shared" si="27"/>
        <v>5.04</v>
      </c>
      <c r="I195" s="34" t="s">
        <v>20</v>
      </c>
    </row>
    <row r="196" s="2" customFormat="1" ht="16.5" spans="1:9">
      <c r="A196" s="26" t="s">
        <v>26</v>
      </c>
      <c r="B196" s="30" t="s">
        <v>17</v>
      </c>
      <c r="C196" s="21">
        <v>50</v>
      </c>
      <c r="D196" s="31" t="s">
        <v>5</v>
      </c>
      <c r="E196" s="22">
        <v>1.5</v>
      </c>
      <c r="F196" s="32" t="s">
        <v>6</v>
      </c>
      <c r="G196" s="33">
        <v>21</v>
      </c>
      <c r="H196" s="29">
        <f t="shared" si="27"/>
        <v>6.3</v>
      </c>
      <c r="I196" s="34" t="s">
        <v>20</v>
      </c>
    </row>
    <row r="197" s="2" customFormat="1" ht="16.5" spans="1:9">
      <c r="A197" s="7" t="s">
        <v>11</v>
      </c>
      <c r="B197" s="6" t="s">
        <v>11</v>
      </c>
      <c r="C197" s="14">
        <v>1.5</v>
      </c>
      <c r="D197" s="9" t="s">
        <v>5</v>
      </c>
      <c r="E197" s="10">
        <v>2</v>
      </c>
      <c r="F197" s="11" t="s">
        <v>6</v>
      </c>
      <c r="G197" s="18">
        <v>2</v>
      </c>
      <c r="H197" s="17">
        <f>C197*E197*G197</f>
        <v>6</v>
      </c>
      <c r="I197" s="14" t="s">
        <v>7</v>
      </c>
    </row>
    <row r="198" s="2" customFormat="1" ht="16.5" spans="1:9">
      <c r="A198" s="26" t="s">
        <v>3</v>
      </c>
      <c r="B198" s="30" t="s">
        <v>17</v>
      </c>
      <c r="C198" s="21">
        <v>63</v>
      </c>
      <c r="D198" s="31" t="s">
        <v>5</v>
      </c>
      <c r="E198" s="22">
        <v>1.5</v>
      </c>
      <c r="F198" s="32" t="s">
        <v>6</v>
      </c>
      <c r="G198" s="33">
        <v>30</v>
      </c>
      <c r="H198" s="29">
        <f t="shared" ref="H198:H200" si="28">C198*4/1000*E198*G198</f>
        <v>11.34</v>
      </c>
      <c r="I198" s="34" t="s">
        <v>20</v>
      </c>
    </row>
    <row r="199" s="2" customFormat="1" ht="16.5" spans="1:9">
      <c r="A199" s="26" t="s">
        <v>3</v>
      </c>
      <c r="B199" s="30" t="s">
        <v>17</v>
      </c>
      <c r="C199" s="21">
        <v>63</v>
      </c>
      <c r="D199" s="31" t="s">
        <v>5</v>
      </c>
      <c r="E199" s="22">
        <v>17</v>
      </c>
      <c r="F199" s="32" t="s">
        <v>6</v>
      </c>
      <c r="G199" s="33">
        <v>2</v>
      </c>
      <c r="H199" s="29">
        <f t="shared" si="28"/>
        <v>8.568</v>
      </c>
      <c r="I199" s="34" t="s">
        <v>20</v>
      </c>
    </row>
    <row r="200" s="2" customFormat="1" ht="16.5" spans="1:9">
      <c r="A200" s="26" t="s">
        <v>3</v>
      </c>
      <c r="B200" s="30" t="s">
        <v>17</v>
      </c>
      <c r="C200" s="21">
        <v>63</v>
      </c>
      <c r="D200" s="31" t="s">
        <v>5</v>
      </c>
      <c r="E200" s="22">
        <v>40</v>
      </c>
      <c r="F200" s="32" t="s">
        <v>6</v>
      </c>
      <c r="G200" s="33">
        <v>1</v>
      </c>
      <c r="H200" s="29">
        <f t="shared" si="28"/>
        <v>10.08</v>
      </c>
      <c r="I200" s="34" t="s">
        <v>20</v>
      </c>
    </row>
    <row r="201" s="2" customFormat="1" ht="16.5" spans="1:9">
      <c r="A201" s="26" t="s">
        <v>65</v>
      </c>
      <c r="B201" s="27" t="s">
        <v>24</v>
      </c>
      <c r="C201" s="21">
        <v>8</v>
      </c>
      <c r="D201" s="9" t="s">
        <v>5</v>
      </c>
      <c r="E201" s="22">
        <v>16</v>
      </c>
      <c r="F201" s="23" t="s">
        <v>6</v>
      </c>
      <c r="G201" s="28">
        <f>IF(C201=10,0.392,IF(C201=12,0.452,IF(C201=14,0.52,IF(C201=16,0.58,IF(C201=20,0.7,IF(C201=22,0.756,IF(C201=8,0.332,IF(C201=18,0.632,查表))))))))</f>
        <v>0.332</v>
      </c>
      <c r="H201" s="29">
        <f>G201*E201</f>
        <v>5.312</v>
      </c>
      <c r="I201" s="37" t="s">
        <v>25</v>
      </c>
    </row>
    <row r="202" s="3" customFormat="1" spans="1:9">
      <c r="A202" s="38" t="s">
        <v>66</v>
      </c>
      <c r="B202" s="38"/>
      <c r="C202" s="38"/>
      <c r="D202" s="38"/>
      <c r="E202" s="38"/>
      <c r="F202" s="38"/>
      <c r="G202" s="38"/>
      <c r="H202" s="38"/>
      <c r="I202" s="38"/>
    </row>
    <row r="203" spans="8:8">
      <c r="H203" s="39"/>
    </row>
    <row r="204" s="1" customFormat="1" spans="1:1">
      <c r="A204" s="1" t="s">
        <v>67</v>
      </c>
    </row>
    <row r="205" s="1" customFormat="1" ht="16.5" spans="1:9">
      <c r="A205" s="30" t="s">
        <v>68</v>
      </c>
      <c r="B205" s="30" t="s">
        <v>9</v>
      </c>
      <c r="C205" s="37">
        <v>7300</v>
      </c>
      <c r="D205" s="31" t="s">
        <v>5</v>
      </c>
      <c r="E205" s="22">
        <v>11</v>
      </c>
      <c r="F205" s="32" t="s">
        <v>6</v>
      </c>
      <c r="G205" s="33">
        <v>2</v>
      </c>
      <c r="H205" s="25">
        <f>C205*3.141*0.001*E205*G205</f>
        <v>504.4446</v>
      </c>
      <c r="I205" s="37" t="s">
        <v>25</v>
      </c>
    </row>
    <row r="206" s="1" customFormat="1" ht="16.5" spans="1:9">
      <c r="A206" s="7" t="s">
        <v>69</v>
      </c>
      <c r="B206" s="30" t="s">
        <v>70</v>
      </c>
      <c r="C206" s="21">
        <v>7.6</v>
      </c>
      <c r="D206" s="31" t="s">
        <v>5</v>
      </c>
      <c r="E206" s="22">
        <v>0</v>
      </c>
      <c r="F206" s="32" t="s">
        <v>6</v>
      </c>
      <c r="G206" s="31">
        <v>2</v>
      </c>
      <c r="H206" s="30">
        <f>G206*C206/4*3.14*C206+E206*C206*3.14*G206</f>
        <v>90.6832</v>
      </c>
      <c r="I206" s="37" t="s">
        <v>25</v>
      </c>
    </row>
    <row r="207" s="1" customFormat="1" ht="16.5" spans="1:9">
      <c r="A207" s="7" t="s">
        <v>71</v>
      </c>
      <c r="B207" s="6" t="s">
        <v>11</v>
      </c>
      <c r="C207" s="14">
        <v>1</v>
      </c>
      <c r="D207" s="9" t="s">
        <v>5</v>
      </c>
      <c r="E207" s="10">
        <v>6</v>
      </c>
      <c r="F207" s="11" t="s">
        <v>6</v>
      </c>
      <c r="G207" s="18">
        <v>2</v>
      </c>
      <c r="H207" s="17">
        <f t="shared" ref="H207:H210" si="29">C207*E207*G207</f>
        <v>12</v>
      </c>
      <c r="I207" s="14" t="s">
        <v>7</v>
      </c>
    </row>
    <row r="208" s="1" customFormat="1" ht="16.5" spans="1:9">
      <c r="A208" s="7" t="s">
        <v>72</v>
      </c>
      <c r="B208" s="6" t="s">
        <v>11</v>
      </c>
      <c r="C208" s="14">
        <v>1</v>
      </c>
      <c r="D208" s="9" t="s">
        <v>5</v>
      </c>
      <c r="E208" s="10">
        <v>0.5</v>
      </c>
      <c r="F208" s="11" t="s">
        <v>6</v>
      </c>
      <c r="G208" s="18">
        <v>4</v>
      </c>
      <c r="H208" s="17">
        <f t="shared" si="29"/>
        <v>2</v>
      </c>
      <c r="I208" s="14" t="s">
        <v>7</v>
      </c>
    </row>
    <row r="209" s="1" customFormat="1" ht="16.5" spans="1:9">
      <c r="A209" s="7" t="s">
        <v>73</v>
      </c>
      <c r="B209" s="6" t="s">
        <v>11</v>
      </c>
      <c r="C209" s="14">
        <v>0.2</v>
      </c>
      <c r="D209" s="9" t="s">
        <v>5</v>
      </c>
      <c r="E209" s="10">
        <v>28</v>
      </c>
      <c r="F209" s="11" t="s">
        <v>6</v>
      </c>
      <c r="G209" s="18">
        <f>2*2*2</f>
        <v>8</v>
      </c>
      <c r="H209" s="17">
        <f t="shared" si="29"/>
        <v>44.8</v>
      </c>
      <c r="I209" s="14" t="s">
        <v>7</v>
      </c>
    </row>
    <row r="210" s="1" customFormat="1" ht="16.5" spans="1:9">
      <c r="A210" s="7" t="s">
        <v>74</v>
      </c>
      <c r="B210" s="6" t="s">
        <v>11</v>
      </c>
      <c r="C210" s="14">
        <v>1</v>
      </c>
      <c r="D210" s="9" t="s">
        <v>5</v>
      </c>
      <c r="E210" s="10">
        <v>2.8</v>
      </c>
      <c r="F210" s="11" t="s">
        <v>6</v>
      </c>
      <c r="G210" s="18">
        <v>2</v>
      </c>
      <c r="H210" s="17">
        <f t="shared" si="29"/>
        <v>5.6</v>
      </c>
      <c r="I210" s="14" t="s">
        <v>7</v>
      </c>
    </row>
    <row r="211" s="1" customFormat="1" ht="16.5" spans="1:9">
      <c r="A211" s="26" t="s">
        <v>26</v>
      </c>
      <c r="B211" s="30" t="s">
        <v>17</v>
      </c>
      <c r="C211" s="21">
        <v>63</v>
      </c>
      <c r="D211" s="31" t="s">
        <v>5</v>
      </c>
      <c r="E211" s="22">
        <v>20</v>
      </c>
      <c r="F211" s="32" t="s">
        <v>6</v>
      </c>
      <c r="G211" s="33">
        <v>2</v>
      </c>
      <c r="H211" s="29">
        <f>C211*4/1000*E211*G211</f>
        <v>10.08</v>
      </c>
      <c r="I211" s="37" t="s">
        <v>25</v>
      </c>
    </row>
    <row r="212" s="1" customFormat="1" ht="16.5" spans="1:9">
      <c r="A212" s="7" t="s">
        <v>12</v>
      </c>
      <c r="B212" s="6" t="s">
        <v>11</v>
      </c>
      <c r="C212" s="14">
        <v>1</v>
      </c>
      <c r="D212" s="9" t="s">
        <v>5</v>
      </c>
      <c r="E212" s="10">
        <v>6.5</v>
      </c>
      <c r="F212" s="11" t="s">
        <v>6</v>
      </c>
      <c r="G212" s="18">
        <v>2</v>
      </c>
      <c r="H212" s="17">
        <f t="shared" ref="H212:H217" si="30">C212*E212*G212</f>
        <v>13</v>
      </c>
      <c r="I212" s="14" t="s">
        <v>7</v>
      </c>
    </row>
    <row r="213" s="1" customFormat="1" ht="16.5" spans="1:9">
      <c r="A213" s="7" t="s">
        <v>54</v>
      </c>
      <c r="B213" s="6" t="s">
        <v>11</v>
      </c>
      <c r="C213" s="14">
        <v>1</v>
      </c>
      <c r="D213" s="9" t="s">
        <v>5</v>
      </c>
      <c r="E213" s="10">
        <v>10</v>
      </c>
      <c r="F213" s="11" t="s">
        <v>6</v>
      </c>
      <c r="G213" s="18">
        <v>2</v>
      </c>
      <c r="H213" s="17">
        <f t="shared" si="30"/>
        <v>20</v>
      </c>
      <c r="I213" s="14" t="s">
        <v>7</v>
      </c>
    </row>
    <row r="214" s="1" customFormat="1" ht="16.5" spans="1:9">
      <c r="A214" s="30" t="s">
        <v>8</v>
      </c>
      <c r="B214" s="30" t="s">
        <v>9</v>
      </c>
      <c r="C214" s="37">
        <v>32</v>
      </c>
      <c r="D214" s="31" t="s">
        <v>5</v>
      </c>
      <c r="E214" s="22">
        <v>73</v>
      </c>
      <c r="F214" s="32" t="s">
        <v>6</v>
      </c>
      <c r="G214" s="33">
        <v>2</v>
      </c>
      <c r="H214" s="25">
        <f t="shared" ref="H214:H219" si="31">C214*3.141*0.001*E214*G214</f>
        <v>14.674752</v>
      </c>
      <c r="I214" s="37" t="s">
        <v>25</v>
      </c>
    </row>
    <row r="215" s="1" customFormat="1" ht="16.5" spans="1:9">
      <c r="A215" s="26" t="s">
        <v>26</v>
      </c>
      <c r="B215" s="30" t="s">
        <v>17</v>
      </c>
      <c r="C215" s="21">
        <v>63</v>
      </c>
      <c r="D215" s="31" t="s">
        <v>5</v>
      </c>
      <c r="E215" s="22">
        <v>21</v>
      </c>
      <c r="F215" s="32" t="s">
        <v>6</v>
      </c>
      <c r="G215" s="33">
        <v>2</v>
      </c>
      <c r="H215" s="29">
        <f>C215*4/1000*E215*G215</f>
        <v>10.584</v>
      </c>
      <c r="I215" s="37" t="s">
        <v>25</v>
      </c>
    </row>
    <row r="216" s="1" customFormat="1" ht="16.5" spans="1:9">
      <c r="A216" s="7" t="s">
        <v>10</v>
      </c>
      <c r="B216" s="6" t="s">
        <v>11</v>
      </c>
      <c r="C216" s="14">
        <v>0.04</v>
      </c>
      <c r="D216" s="9" t="s">
        <v>5</v>
      </c>
      <c r="E216" s="10">
        <v>42</v>
      </c>
      <c r="F216" s="11" t="s">
        <v>6</v>
      </c>
      <c r="G216" s="18">
        <v>4</v>
      </c>
      <c r="H216" s="17">
        <f t="shared" si="30"/>
        <v>6.72</v>
      </c>
      <c r="I216" s="14" t="s">
        <v>7</v>
      </c>
    </row>
    <row r="217" s="1" customFormat="1" ht="16.5" spans="1:9">
      <c r="A217" s="7" t="s">
        <v>10</v>
      </c>
      <c r="B217" s="6" t="s">
        <v>11</v>
      </c>
      <c r="C217" s="14">
        <v>0.1</v>
      </c>
      <c r="D217" s="9" t="s">
        <v>5</v>
      </c>
      <c r="E217" s="10">
        <v>23</v>
      </c>
      <c r="F217" s="11" t="s">
        <v>6</v>
      </c>
      <c r="G217" s="18">
        <v>4</v>
      </c>
      <c r="H217" s="17">
        <f t="shared" si="30"/>
        <v>9.2</v>
      </c>
      <c r="I217" s="14" t="s">
        <v>7</v>
      </c>
    </row>
    <row r="218" s="1" customFormat="1" ht="16.5" spans="1:9">
      <c r="A218" s="30" t="s">
        <v>58</v>
      </c>
      <c r="B218" s="30" t="s">
        <v>9</v>
      </c>
      <c r="C218" s="37">
        <v>108</v>
      </c>
      <c r="D218" s="31" t="s">
        <v>5</v>
      </c>
      <c r="E218" s="22">
        <v>94</v>
      </c>
      <c r="F218" s="32" t="s">
        <v>6</v>
      </c>
      <c r="G218" s="33">
        <v>1</v>
      </c>
      <c r="H218" s="25">
        <f t="shared" si="31"/>
        <v>31.887432</v>
      </c>
      <c r="I218" s="37" t="s">
        <v>25</v>
      </c>
    </row>
    <row r="219" s="1" customFormat="1" ht="16.5" spans="1:9">
      <c r="A219" s="30" t="s">
        <v>58</v>
      </c>
      <c r="B219" s="30" t="s">
        <v>9</v>
      </c>
      <c r="C219" s="37">
        <v>89</v>
      </c>
      <c r="D219" s="31" t="s">
        <v>5</v>
      </c>
      <c r="E219" s="22">
        <v>36</v>
      </c>
      <c r="F219" s="32" t="s">
        <v>6</v>
      </c>
      <c r="G219" s="33">
        <v>1</v>
      </c>
      <c r="H219" s="25">
        <f t="shared" si="31"/>
        <v>10.063764</v>
      </c>
      <c r="I219" s="37" t="s">
        <v>25</v>
      </c>
    </row>
    <row r="220" s="1" customFormat="1" ht="16.5" spans="1:9">
      <c r="A220" s="26" t="s">
        <v>29</v>
      </c>
      <c r="B220" s="30" t="s">
        <v>17</v>
      </c>
      <c r="C220" s="21">
        <v>63</v>
      </c>
      <c r="D220" s="31" t="s">
        <v>5</v>
      </c>
      <c r="E220" s="22">
        <v>45</v>
      </c>
      <c r="F220" s="32" t="s">
        <v>6</v>
      </c>
      <c r="G220" s="33">
        <v>1</v>
      </c>
      <c r="H220" s="29">
        <f>C220*4/1000*E220*G220</f>
        <v>11.34</v>
      </c>
      <c r="I220" s="37" t="s">
        <v>25</v>
      </c>
    </row>
    <row r="221" s="1" customFormat="1" spans="1:1">
      <c r="A221" s="1" t="s">
        <v>75</v>
      </c>
    </row>
    <row r="222" s="1" customFormat="1" spans="1:1">
      <c r="A222" s="1" t="s">
        <v>76</v>
      </c>
    </row>
    <row r="223" s="1" customFormat="1" ht="16.5" spans="1:9">
      <c r="A223" s="30" t="s">
        <v>77</v>
      </c>
      <c r="B223" s="30" t="s">
        <v>9</v>
      </c>
      <c r="C223" s="37">
        <v>16000</v>
      </c>
      <c r="D223" s="31" t="s">
        <v>5</v>
      </c>
      <c r="E223" s="22">
        <v>14</v>
      </c>
      <c r="F223" s="32" t="s">
        <v>6</v>
      </c>
      <c r="G223" s="33">
        <v>2</v>
      </c>
      <c r="H223" s="25">
        <f t="shared" ref="H223:H229" si="32">C223*3.141*0.001*E223*G223</f>
        <v>1407.168</v>
      </c>
      <c r="I223" s="37" t="s">
        <v>25</v>
      </c>
    </row>
    <row r="224" s="1" customFormat="1" ht="16.5" spans="1:9">
      <c r="A224" s="7" t="s">
        <v>69</v>
      </c>
      <c r="B224" s="30" t="s">
        <v>70</v>
      </c>
      <c r="C224" s="21">
        <v>16</v>
      </c>
      <c r="D224" s="31" t="s">
        <v>5</v>
      </c>
      <c r="E224" s="22">
        <v>0</v>
      </c>
      <c r="F224" s="21" t="s">
        <v>6</v>
      </c>
      <c r="G224" s="31">
        <v>2</v>
      </c>
      <c r="H224" s="30">
        <f>G224*C224/4*3.14*C224+E224*C224*3.14*G224</f>
        <v>401.92</v>
      </c>
      <c r="I224" s="37" t="s">
        <v>25</v>
      </c>
    </row>
    <row r="225" s="2" customFormat="1" ht="16.5" spans="1:9">
      <c r="A225" s="7" t="s">
        <v>42</v>
      </c>
      <c r="B225" s="7" t="s">
        <v>9</v>
      </c>
      <c r="C225" s="14">
        <v>219</v>
      </c>
      <c r="D225" s="9" t="s">
        <v>5</v>
      </c>
      <c r="E225" s="10">
        <v>70</v>
      </c>
      <c r="F225" s="15" t="s">
        <v>6</v>
      </c>
      <c r="G225" s="18">
        <v>1</v>
      </c>
      <c r="H225" s="17">
        <f t="shared" si="32"/>
        <v>48.15153</v>
      </c>
      <c r="I225" s="14" t="s">
        <v>7</v>
      </c>
    </row>
    <row r="226" s="2" customFormat="1" ht="16.5" spans="1:9">
      <c r="A226" s="7" t="s">
        <v>42</v>
      </c>
      <c r="B226" s="7" t="s">
        <v>9</v>
      </c>
      <c r="C226" s="14">
        <v>273</v>
      </c>
      <c r="D226" s="9" t="s">
        <v>5</v>
      </c>
      <c r="E226" s="10">
        <v>75</v>
      </c>
      <c r="F226" s="15" t="s">
        <v>6</v>
      </c>
      <c r="G226" s="18">
        <v>1</v>
      </c>
      <c r="H226" s="17">
        <f t="shared" si="32"/>
        <v>64.311975</v>
      </c>
      <c r="I226" s="14" t="s">
        <v>7</v>
      </c>
    </row>
    <row r="227" s="2" customFormat="1" ht="16.5" spans="1:9">
      <c r="A227" s="7" t="s">
        <v>42</v>
      </c>
      <c r="B227" s="7" t="s">
        <v>9</v>
      </c>
      <c r="C227" s="14">
        <v>50</v>
      </c>
      <c r="D227" s="9" t="s">
        <v>5</v>
      </c>
      <c r="E227" s="10">
        <v>21</v>
      </c>
      <c r="F227" s="15" t="s">
        <v>6</v>
      </c>
      <c r="G227" s="18">
        <v>1</v>
      </c>
      <c r="H227" s="17">
        <f t="shared" si="32"/>
        <v>3.29805</v>
      </c>
      <c r="I227" s="14" t="s">
        <v>7</v>
      </c>
    </row>
    <row r="228" s="2" customFormat="1" ht="16.5" spans="1:9">
      <c r="A228" s="7" t="s">
        <v>42</v>
      </c>
      <c r="B228" s="7" t="s">
        <v>9</v>
      </c>
      <c r="C228" s="14">
        <v>89</v>
      </c>
      <c r="D228" s="9" t="s">
        <v>5</v>
      </c>
      <c r="E228" s="10">
        <v>55</v>
      </c>
      <c r="F228" s="15" t="s">
        <v>6</v>
      </c>
      <c r="G228" s="18">
        <v>1</v>
      </c>
      <c r="H228" s="17">
        <f t="shared" si="32"/>
        <v>15.375195</v>
      </c>
      <c r="I228" s="14" t="s">
        <v>7</v>
      </c>
    </row>
    <row r="229" s="2" customFormat="1" ht="16.5" spans="1:9">
      <c r="A229" s="7" t="s">
        <v>42</v>
      </c>
      <c r="B229" s="7" t="s">
        <v>9</v>
      </c>
      <c r="C229" s="14">
        <v>163</v>
      </c>
      <c r="D229" s="9" t="s">
        <v>5</v>
      </c>
      <c r="E229" s="10">
        <v>130</v>
      </c>
      <c r="F229" s="15" t="s">
        <v>6</v>
      </c>
      <c r="G229" s="18">
        <v>1</v>
      </c>
      <c r="H229" s="17">
        <f t="shared" si="32"/>
        <v>66.55779</v>
      </c>
      <c r="I229" s="14" t="s">
        <v>7</v>
      </c>
    </row>
    <row r="230" s="1" customFormat="1" ht="16.5" spans="1:9">
      <c r="A230" s="26" t="s">
        <v>26</v>
      </c>
      <c r="B230" s="30" t="s">
        <v>17</v>
      </c>
      <c r="C230" s="21">
        <v>63</v>
      </c>
      <c r="D230" s="31" t="s">
        <v>5</v>
      </c>
      <c r="E230" s="22">
        <v>64</v>
      </c>
      <c r="F230" s="32" t="s">
        <v>6</v>
      </c>
      <c r="G230" s="33">
        <v>2</v>
      </c>
      <c r="H230" s="29">
        <f>C230*4/1000*E230*G230</f>
        <v>32.256</v>
      </c>
      <c r="I230" s="37" t="s">
        <v>25</v>
      </c>
    </row>
    <row r="231" s="1" customFormat="1" ht="16.5" spans="1:9">
      <c r="A231" s="7" t="s">
        <v>12</v>
      </c>
      <c r="B231" s="6" t="s">
        <v>11</v>
      </c>
      <c r="C231" s="14">
        <v>0.05</v>
      </c>
      <c r="D231" s="9" t="s">
        <v>5</v>
      </c>
      <c r="E231" s="10">
        <v>1.9</v>
      </c>
      <c r="F231" s="11" t="s">
        <v>6</v>
      </c>
      <c r="G231" s="18">
        <f>2*28*2</f>
        <v>112</v>
      </c>
      <c r="H231" s="17">
        <f t="shared" ref="H231:H233" si="33">C231*E231*G231</f>
        <v>10.64</v>
      </c>
      <c r="I231" s="14" t="s">
        <v>7</v>
      </c>
    </row>
    <row r="232" s="1" customFormat="1" ht="16.5" spans="1:9">
      <c r="A232" s="7" t="s">
        <v>12</v>
      </c>
      <c r="B232" s="6" t="s">
        <v>11</v>
      </c>
      <c r="C232" s="14">
        <v>0.05</v>
      </c>
      <c r="D232" s="9" t="s">
        <v>5</v>
      </c>
      <c r="E232" s="10">
        <v>14</v>
      </c>
      <c r="F232" s="11" t="s">
        <v>6</v>
      </c>
      <c r="G232" s="18">
        <f>2*5*2</f>
        <v>20</v>
      </c>
      <c r="H232" s="17">
        <f t="shared" si="33"/>
        <v>14</v>
      </c>
      <c r="I232" s="14" t="s">
        <v>7</v>
      </c>
    </row>
    <row r="233" s="1" customFormat="1" ht="16.5" spans="1:9">
      <c r="A233" s="7" t="s">
        <v>54</v>
      </c>
      <c r="B233" s="6" t="s">
        <v>11</v>
      </c>
      <c r="C233" s="14">
        <v>1</v>
      </c>
      <c r="D233" s="9" t="s">
        <v>5</v>
      </c>
      <c r="E233" s="10">
        <v>1.2</v>
      </c>
      <c r="F233" s="11" t="s">
        <v>6</v>
      </c>
      <c r="G233" s="18">
        <f>2*2</f>
        <v>4</v>
      </c>
      <c r="H233" s="17">
        <f t="shared" si="33"/>
        <v>4.8</v>
      </c>
      <c r="I233" s="14" t="s">
        <v>7</v>
      </c>
    </row>
    <row r="234" s="1" customFormat="1" ht="16.5" spans="1:9">
      <c r="A234" s="26" t="s">
        <v>26</v>
      </c>
      <c r="B234" s="30" t="s">
        <v>17</v>
      </c>
      <c r="C234" s="21">
        <v>63</v>
      </c>
      <c r="D234" s="31" t="s">
        <v>5</v>
      </c>
      <c r="E234" s="22">
        <v>1.2</v>
      </c>
      <c r="F234" s="32" t="s">
        <v>6</v>
      </c>
      <c r="G234" s="33">
        <v>10</v>
      </c>
      <c r="H234" s="29">
        <f>C234*4/1000*E234*G234</f>
        <v>3.024</v>
      </c>
      <c r="I234" s="37" t="s">
        <v>25</v>
      </c>
    </row>
    <row r="235" s="1" customFormat="1" ht="16.5" spans="1:9">
      <c r="A235" s="30" t="s">
        <v>13</v>
      </c>
      <c r="B235" s="30" t="s">
        <v>9</v>
      </c>
      <c r="C235" s="37">
        <v>32</v>
      </c>
      <c r="D235" s="31" t="s">
        <v>5</v>
      </c>
      <c r="E235" s="22">
        <v>0.5</v>
      </c>
      <c r="F235" s="32" t="s">
        <v>6</v>
      </c>
      <c r="G235" s="33">
        <v>100</v>
      </c>
      <c r="H235" s="25">
        <f>C235*3.141*0.001*E235*G235</f>
        <v>5.0256</v>
      </c>
      <c r="I235" s="37" t="s">
        <v>25</v>
      </c>
    </row>
    <row r="236" ht="13" customHeight="1" spans="1:1">
      <c r="A236" s="4" t="s">
        <v>78</v>
      </c>
    </row>
    <row r="237" s="3" customFormat="1" spans="1:1">
      <c r="A237" s="3" t="s">
        <v>79</v>
      </c>
    </row>
    <row r="239" s="1" customFormat="1" ht="16.5" spans="1:9">
      <c r="A239" s="30" t="s">
        <v>8</v>
      </c>
      <c r="B239" s="30" t="s">
        <v>9</v>
      </c>
      <c r="C239" s="37">
        <v>32</v>
      </c>
      <c r="D239" s="31" t="s">
        <v>5</v>
      </c>
      <c r="E239" s="22">
        <v>200</v>
      </c>
      <c r="F239" s="32" t="s">
        <v>6</v>
      </c>
      <c r="G239" s="33">
        <v>2</v>
      </c>
      <c r="H239" s="25">
        <f>C239*3.141*0.001*E239*G239</f>
        <v>40.2048</v>
      </c>
      <c r="I239" s="37" t="s">
        <v>25</v>
      </c>
    </row>
    <row r="240" s="3" customFormat="1" spans="1:1">
      <c r="A240" s="3" t="s">
        <v>80</v>
      </c>
    </row>
  </sheetData>
  <mergeCells count="2">
    <mergeCell ref="A1:I1"/>
    <mergeCell ref="A202:I20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刘亮</cp:lastModifiedBy>
  <dcterms:created xsi:type="dcterms:W3CDTF">2023-09-03T06:46:00Z</dcterms:created>
  <dcterms:modified xsi:type="dcterms:W3CDTF">2023-09-07T09:03:30Z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BC8B69C0CC18451584546FDE49EC0397</vt:lpwstr>
  </property>
</Properties>
</file>